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project\5982 Tolleson High School #7\100 High School #7\Documents\SFB\GMP and Adjacent Ways\"/>
    </mc:Choice>
  </mc:AlternateContent>
  <bookViews>
    <workbookView xWindow="0" yWindow="0" windowWidth="22500" windowHeight="10785"/>
  </bookViews>
  <sheets>
    <sheet name="SFB NC600-16" sheetId="1" r:id="rId1"/>
  </sheets>
  <externalReferences>
    <externalReference r:id="rId2"/>
  </externalReferences>
  <definedNames>
    <definedName name="_xlnm.Print_Area" localSheetId="0">'SFB NC600-16'!$A$2:$L$225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1" i="1" l="1"/>
  <c r="I221" i="1"/>
  <c r="H221" i="1"/>
  <c r="G221" i="1"/>
  <c r="H220" i="1"/>
  <c r="G220" i="1"/>
  <c r="H193" i="1"/>
  <c r="G193" i="1"/>
  <c r="H183" i="1"/>
  <c r="G183" i="1"/>
  <c r="H177" i="1"/>
  <c r="G177" i="1"/>
  <c r="H166" i="1"/>
  <c r="G166" i="1"/>
  <c r="H41" i="1"/>
  <c r="G41" i="1"/>
  <c r="H36" i="1"/>
  <c r="G36" i="1"/>
  <c r="H34" i="1"/>
  <c r="G34" i="1"/>
  <c r="I12" i="1" l="1"/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H218" i="1" l="1"/>
  <c r="H224" i="1" s="1"/>
  <c r="H18" i="1" s="1"/>
  <c r="I218" i="1"/>
  <c r="I224" i="1" s="1"/>
  <c r="I18" i="1" s="1"/>
  <c r="J218" i="1"/>
  <c r="G218" i="1"/>
  <c r="F47" i="1" l="1"/>
  <c r="H17" i="1"/>
  <c r="F104" i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I16" i="1" s="1"/>
  <c r="J18" i="1"/>
  <c r="E224" i="1"/>
  <c r="E218" i="1"/>
  <c r="B219" i="1" l="1"/>
  <c r="B220" i="1"/>
  <c r="B221" i="1"/>
  <c r="B223" i="1"/>
  <c r="B222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<sst xmlns="http://schemas.openxmlformats.org/spreadsheetml/2006/main" count="443" uniqueCount="430">
  <si>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</si>
  <si>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</si>
  <si>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</si>
  <si>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</si>
  <si>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</si>
  <si>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</si>
  <si>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</si>
  <si>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</si>
  <si>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</si>
  <si>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</si>
  <si>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</si>
  <si>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</si>
  <si>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</si>
  <si>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</si>
  <si>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</si>
  <si>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</si>
  <si>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</si>
  <si>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</si>
  <si>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</si>
  <si>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</si>
  <si>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</si>
  <si>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</si>
  <si>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</si>
  <si>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</si>
  <si>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</si>
  <si>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</si>
  <si>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</si>
  <si>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</si>
  <si>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</si>
  <si>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</si>
  <si>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</si>
  <si>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</si>
  <si>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</si>
  <si>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</si>
  <si>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</si>
  <si>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</si>
  <si>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</si>
  <si>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</si>
  <si>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</si>
  <si>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</si>
  <si>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</si>
  <si>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</si>
  <si>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</si>
  <si>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</si>
  <si>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</si>
  <si>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</si>
  <si>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</si>
  <si>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</si>
  <si>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</si>
  <si>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</si>
  <si>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</si>
  <si>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</si>
  <si>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</si>
  <si>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</si>
  <si>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</si>
  <si>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</si>
  <si>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</si>
  <si>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</si>
  <si>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</si>
  <si>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</si>
  <si>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</si>
  <si>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</si>
  <si>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</si>
  <si>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</si>
  <si>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</si>
  <si>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</si>
  <si>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</si>
  <si>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</si>
  <si>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</si>
  <si>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</si>
  <si>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</si>
  <si>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</si>
  <si>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</si>
  <si>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</si>
  <si>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</si>
  <si>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</si>
  <si>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</si>
  <si>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</si>
  <si>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</si>
  <si>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</si>
  <si>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</si>
  <si>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</si>
  <si>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</si>
  <si>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</si>
  <si>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</si>
  <si>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</si>
  <si>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</si>
  <si>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</si>
  <si>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</si>
  <si>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</si>
  <si>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</si>
  <si>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</si>
  <si>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</si>
  <si>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</si>
  <si>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</si>
  <si>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</si>
  <si>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</si>
  <si>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</si>
  <si>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</si>
  <si>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</si>
  <si>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</si>
  <si>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</si>
  <si>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</si>
  <si>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</si>
  <si>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</si>
  <si>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</si>
  <si>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</si>
  <si>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</si>
  <si>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</si>
  <si>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</si>
  <si>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</si>
  <si>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</si>
  <si>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</si>
  <si>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</si>
  <si>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</si>
  <si>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</si>
  <si>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</si>
  <si>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</si>
  <si>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</si>
  <si>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</si>
  <si>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</si>
  <si>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</si>
  <si>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</si>
  <si>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</si>
  <si>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</si>
  <si>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</si>
  <si>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</si>
  <si>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</si>
  <si>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</si>
  <si>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</si>
  <si>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</si>
  <si>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</si>
  <si>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</si>
  <si>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</si>
  <si>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</si>
  <si>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</si>
  <si>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</si>
  <si>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</si>
  <si>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</si>
  <si>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</si>
  <si>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</si>
  <si>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</si>
  <si>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</si>
  <si>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</si>
  <si>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</si>
  <si>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</si>
  <si>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</si>
  <si>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</si>
  <si>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</si>
  <si>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</si>
  <si>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</si>
  <si>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</si>
  <si>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</si>
  <si>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</si>
  <si>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</si>
  <si>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</si>
  <si>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</si>
  <si>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</si>
  <si>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</si>
  <si>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</si>
  <si>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</si>
  <si>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</si>
  <si>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</si>
  <si>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</si>
  <si>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</si>
  <si>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</si>
  <si>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</si>
  <si>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</si>
  <si>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</si>
  <si>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</si>
  <si>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</si>
  <si>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</si>
  <si>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</si>
  <si>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</si>
  <si>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</si>
  <si>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</si>
  <si>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</si>
  <si>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</si>
  <si>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</si>
  <si>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</si>
  <si>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</si>
  <si>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</si>
  <si>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</si>
  <si>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</si>
  <si>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</si>
  <si>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</si>
  <si>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</si>
  <si>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</si>
  <si>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</si>
  <si>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</si>
  <si>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</si>
  <si>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</si>
  <si>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</si>
  <si>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</si>
  <si>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</si>
  <si>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</si>
  <si>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</si>
  <si>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</si>
  <si>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</si>
  <si>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</si>
  <si>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</si>
  <si>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</si>
  <si>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</si>
  <si>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</si>
  <si>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</si>
  <si>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</si>
  <si>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</si>
  <si>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</si>
  <si>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</si>
  <si>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</si>
  <si>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</si>
  <si>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</si>
  <si>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</si>
  <si>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</si>
  <si>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</si>
  <si>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</si>
  <si>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</si>
  <si>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</si>
  <si>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</si>
  <si>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</si>
  <si>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</si>
  <si>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</si>
  <si>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</si>
  <si>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</si>
  <si>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</si>
  <si>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</si>
  <si>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</si>
  <si>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</si>
  <si>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</si>
  <si>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</si>
  <si>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</si>
  <si>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</si>
  <si>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</si>
  <si>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</si>
  <si>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</si>
  <si>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</si>
  <si>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</si>
  <si>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</si>
  <si>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</si>
  <si>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</si>
  <si>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</si>
  <si>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</si>
  <si>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</si>
  <si>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</si>
  <si>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</si>
  <si>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</si>
  <si>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</si>
  <si>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</si>
  <si>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</si>
  <si>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</si>
  <si>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</si>
  <si>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</si>
  <si>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</si>
  <si>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</si>
  <si>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</si>
  <si>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</si>
  <si>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</si>
  <si>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</si>
  <si>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</si>
  <si>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</si>
  <si>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</si>
  <si>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</si>
  <si>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</si>
  <si>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</si>
  <si>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</si>
  <si>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</si>
  <si>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</si>
  <si>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</si>
  <si>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</si>
  <si>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</si>
  <si>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</si>
  <si>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</si>
  <si>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</si>
  <si>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</si>
  <si>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</si>
  <si>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</si>
  <si>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</si>
  <si>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</si>
  <si>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</si>
  <si>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</si>
  <si>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</si>
  <si>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</si>
  <si>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</si>
  <si>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</si>
  <si>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</si>
  <si>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</si>
  <si>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</si>
  <si>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</si>
  <si>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</si>
  <si>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</si>
  <si>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</si>
  <si>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</si>
  <si>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</si>
  <si>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</si>
  <si>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</si>
  <si>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</si>
  <si>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</si>
  <si>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</si>
  <si>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</si>
  <si>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</si>
  <si>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</si>
  <si>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</si>
  <si>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</si>
  <si>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</si>
  <si>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</si>
  <si>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</si>
  <si>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</si>
  <si>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</si>
  <si>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</si>
  <si>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</si>
  <si>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</si>
  <si>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</si>
  <si>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</si>
  <si>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</si>
  <si>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</si>
  <si>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</si>
  <si>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</si>
  <si>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</si>
  <si>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</si>
  <si>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</si>
  <si>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</si>
  <si>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</si>
  <si>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</si>
  <si>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</si>
  <si>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</si>
  <si>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</si>
  <si>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</si>
  <si>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</si>
  <si>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</si>
  <si>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</si>
  <si>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</si>
  <si>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</si>
  <si>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</si>
  <si>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</si>
  <si>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</si>
  <si>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</si>
  <si>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</si>
  <si>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</si>
  <si>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</si>
  <si>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</si>
  <si>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</si>
  <si>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</si>
  <si>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</si>
  <si>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</si>
  <si>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</si>
  <si>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</si>
  <si>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</si>
  <si>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</si>
  <si>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</si>
  <si>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</si>
  <si>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</si>
  <si>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</si>
  <si>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</si>
  <si>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</si>
  <si>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</si>
  <si>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</si>
  <si>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</si>
  <si>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</si>
  <si>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</si>
  <si>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</si>
  <si>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</si>
  <si>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</si>
  <si>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</si>
  <si>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</si>
  <si>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</si>
  <si>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</si>
  <si>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</si>
  <si>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</si>
  <si>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</si>
  <si>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</si>
  <si>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</si>
  <si>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</si>
  <si>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</si>
  <si>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</si>
  <si>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</si>
  <si>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</si>
  <si>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</si>
  <si>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</si>
  <si>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</si>
  <si>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</si>
  <si>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</si>
  <si>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</si>
  <si>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</si>
  <si>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</si>
  <si>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</si>
  <si>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</si>
  <si>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</si>
  <si>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</si>
  <si>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</si>
  <si>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</si>
  <si>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</si>
  <si>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</si>
  <si>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</si>
  <si>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</si>
  <si>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</si>
  <si>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</si>
  <si>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</si>
  <si>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</si>
  <si>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</si>
  <si>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</si>
  <si>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</si>
  <si>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</si>
  <si>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</si>
  <si>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</si>
  <si>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</si>
  <si>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</si>
  <si>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</si>
  <si>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</si>
  <si>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</si>
  <si>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Jeremy Keck</t>
  </si>
  <si>
    <t>Chasse Building Team</t>
  </si>
  <si>
    <t>OPERABLE GLASS WALLS</t>
  </si>
  <si>
    <t>TENNIS</t>
  </si>
  <si>
    <t>RUNNING TRACK</t>
  </si>
  <si>
    <t>GC'S</t>
  </si>
  <si>
    <t>Maricopa County</t>
  </si>
  <si>
    <t>9-12</t>
  </si>
  <si>
    <t>METAL WALL PANELS</t>
  </si>
  <si>
    <t>SOLAR PANELS</t>
  </si>
  <si>
    <t>ACCESS CONTROLS</t>
  </si>
  <si>
    <t>WIRELESS CLOCKS</t>
  </si>
  <si>
    <t>WITH/00 26 00</t>
  </si>
  <si>
    <t>GREENSCREEN</t>
  </si>
  <si>
    <t>BARN &amp; GREENHOUSE</t>
  </si>
  <si>
    <t>TOLLESON UNION HIGH SCHOOL DISTRICT</t>
  </si>
  <si>
    <t>ADM Group, Inc</t>
  </si>
  <si>
    <t>City of Avondale</t>
  </si>
  <si>
    <t>Testing/Inspections</t>
  </si>
  <si>
    <t>2926</t>
  </si>
  <si>
    <t>070514000-9999-006N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</si>
</sst>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8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4" xfId="0" applyBorder="1"/>
    <xf numFmtId="0" fontId="0" fillId="0" borderId="16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right"/>
    </xf>
    <xf numFmtId="0" fontId="6" fillId="0" borderId="21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3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3" xfId="0" applyFont="1" applyBorder="1" applyAlignment="1" applyProtection="1">
      <alignment horizontal="right"/>
    </xf>
    <xf numFmtId="0" fontId="6" fillId="0" borderId="24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right"/>
    </xf>
    <xf numFmtId="3" fontId="15" fillId="4" borderId="25" xfId="0" applyNumberFormat="1" applyFont="1" applyFill="1" applyBorder="1" applyAlignment="1" applyProtection="1">
      <alignment horizontal="right" vertical="center"/>
    </xf>
    <xf numFmtId="165" fontId="15" fillId="4" borderId="25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5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2" xfId="0" applyFont="1" applyFill="1" applyBorder="1" applyAlignment="1" applyProtection="1">
      <alignment horizontal="right"/>
    </xf>
    <xf numFmtId="165" fontId="7" fillId="5" borderId="26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0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34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1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1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1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35" xfId="0" applyFont="1" applyBorder="1" applyAlignment="1" applyProtection="1">
      <alignment vertical="top" wrapText="1"/>
    </xf>
    <xf numFmtId="7" fontId="8" fillId="0" borderId="35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29" xfId="2" applyNumberFormat="1" applyFont="1" applyFill="1" applyBorder="1" applyProtection="1">
      <protection locked="0"/>
    </xf>
    <xf numFmtId="4" fontId="6" fillId="7" borderId="29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35" xfId="1" applyNumberFormat="1" applyFont="1" applyFill="1" applyBorder="1" applyAlignment="1" applyProtection="1">
      <alignment horizontal="right"/>
    </xf>
    <xf numFmtId="165" fontId="8" fillId="8" borderId="35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36" xfId="2" applyNumberFormat="1" applyFont="1" applyFill="1" applyBorder="1" applyAlignment="1" applyProtection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38" xfId="0" applyNumberFormat="1" applyFont="1" applyFill="1" applyBorder="1" applyAlignment="1" applyProtection="1">
      <alignment horizontal="center" vertical="top" wrapText="1"/>
    </xf>
    <xf numFmtId="165" fontId="8" fillId="8" borderId="39" xfId="0" applyNumberFormat="1" applyFont="1" applyFill="1" applyBorder="1" applyAlignment="1" applyProtection="1">
      <alignment horizontal="center" vertical="top" wrapText="1"/>
    </xf>
    <xf numFmtId="165" fontId="16" fillId="8" borderId="39" xfId="0" applyNumberFormat="1" applyFont="1" applyFill="1" applyBorder="1" applyAlignment="1" applyProtection="1">
      <alignment horizontal="center" vertical="top" wrapText="1"/>
    </xf>
    <xf numFmtId="165" fontId="8" fillId="8" borderId="38" xfId="0" applyNumberFormat="1" applyFont="1" applyFill="1" applyBorder="1" applyAlignment="1" applyProtection="1">
      <alignment horizontal="right" vertical="top" wrapText="1"/>
    </xf>
    <xf numFmtId="165" fontId="8" fillId="8" borderId="38" xfId="2" applyNumberFormat="1" applyFont="1" applyFill="1" applyBorder="1" applyAlignment="1" applyProtection="1">
      <alignment horizontal="right" vertical="top" wrapText="1"/>
    </xf>
    <xf numFmtId="165" fontId="8" fillId="8" borderId="39" xfId="2" applyNumberFormat="1" applyFont="1" applyFill="1" applyBorder="1" applyAlignment="1" applyProtection="1">
      <alignment horizontal="center" vertical="top" wrapText="1"/>
    </xf>
    <xf numFmtId="4" fontId="8" fillId="8" borderId="36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38" xfId="2" applyNumberFormat="1" applyFont="1" applyFill="1" applyBorder="1" applyAlignment="1" applyProtection="1">
      <alignment horizontal="left" vertical="top" wrapText="1"/>
    </xf>
    <xf numFmtId="3" fontId="8" fillId="8" borderId="39" xfId="2" applyNumberFormat="1" applyFont="1" applyFill="1" applyBorder="1" applyAlignment="1" applyProtection="1">
      <alignment horizontal="right" vertical="top" wrapText="1"/>
    </xf>
    <xf numFmtId="165" fontId="6" fillId="0" borderId="23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0" xfId="3" applyNumberFormat="1" applyFont="1" applyFill="1" applyBorder="1" applyAlignment="1" applyProtection="1">
      <alignment horizontal="left" wrapText="1"/>
    </xf>
    <xf numFmtId="49" fontId="0" fillId="8" borderId="12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4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2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0" xfId="0" applyFont="1" applyBorder="1" applyAlignment="1" applyProtection="1">
      <alignment vertical="top" wrapText="1"/>
    </xf>
    <xf numFmtId="0" fontId="8" fillId="0" borderId="31" xfId="0" applyFont="1" applyFill="1" applyBorder="1" applyAlignment="1" applyProtection="1">
      <alignment vertical="top" wrapText="1"/>
    </xf>
    <xf numFmtId="0" fontId="6" fillId="0" borderId="16" xfId="0" applyFont="1" applyBorder="1" applyAlignment="1" applyProtection="1">
      <alignment horizontal="left" indent="1"/>
    </xf>
    <xf numFmtId="165" fontId="7" fillId="5" borderId="28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39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39" xfId="0" applyNumberFormat="1" applyFont="1" applyFill="1" applyBorder="1" applyAlignment="1" applyProtection="1">
      <alignment horizontal="center" vertical="top" wrapText="1"/>
    </xf>
    <xf numFmtId="165" fontId="22" fillId="8" borderId="39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0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43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47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6" xfId="0" applyNumberFormat="1" applyFont="1" applyFill="1" applyBorder="1" applyProtection="1"/>
    <xf numFmtId="165" fontId="7" fillId="5" borderId="46" xfId="1" applyNumberFormat="1" applyFont="1" applyFill="1" applyBorder="1" applyAlignment="1" applyProtection="1">
      <alignment horizontal="right"/>
    </xf>
    <xf numFmtId="0" fontId="8" fillId="0" borderId="30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5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35" xfId="1" applyNumberFormat="1" applyFont="1" applyFill="1" applyBorder="1" applyAlignment="1" applyProtection="1">
      <alignment horizontal="right"/>
    </xf>
    <xf numFmtId="165" fontId="14" fillId="4" borderId="31" xfId="0" applyNumberFormat="1" applyFont="1" applyFill="1" applyBorder="1" applyAlignment="1" applyProtection="1">
      <alignment horizontal="right" vertical="center"/>
    </xf>
    <xf numFmtId="10" fontId="7" fillId="5" borderId="34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0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53" xfId="0" quotePrefix="1" applyFont="1" applyBorder="1" applyAlignment="1" applyProtection="1">
      <alignment horizontal="center"/>
    </xf>
    <xf numFmtId="0" fontId="1" fillId="0" borderId="55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61" xfId="0" quotePrefix="1" applyFont="1" applyBorder="1" applyAlignment="1" applyProtection="1">
      <alignment horizontal="center"/>
    </xf>
    <xf numFmtId="0" fontId="1" fillId="0" borderId="61" xfId="0" applyFont="1" applyBorder="1" applyAlignment="1" applyProtection="1">
      <alignment horizontal="center"/>
    </xf>
    <xf numFmtId="0" fontId="1" fillId="0" borderId="63" xfId="0" quotePrefix="1" applyFont="1" applyBorder="1" applyAlignment="1" applyProtection="1">
      <alignment horizontal="center"/>
    </xf>
    <xf numFmtId="0" fontId="0" fillId="0" borderId="30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55" xfId="0" quotePrefix="1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1" fillId="0" borderId="61" xfId="0" quotePrefix="1" applyFont="1" applyBorder="1" applyAlignment="1">
      <alignment horizontal="center"/>
    </xf>
    <xf numFmtId="0" fontId="1" fillId="0" borderId="63" xfId="0" applyFont="1" applyBorder="1" applyAlignment="1" applyProtection="1">
      <alignment horizontal="center"/>
    </xf>
    <xf numFmtId="0" fontId="1" fillId="0" borderId="55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72" xfId="0" applyFont="1" applyBorder="1" applyAlignment="1" applyProtection="1">
      <alignment horizontal="center"/>
    </xf>
    <xf numFmtId="165" fontId="7" fillId="5" borderId="73" xfId="1" applyNumberFormat="1" applyFont="1" applyFill="1" applyBorder="1" applyAlignment="1" applyProtection="1">
      <alignment horizontal="right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77" xfId="0" applyFont="1" applyBorder="1" applyAlignment="1" applyProtection="1">
      <alignment horizontal="center"/>
    </xf>
    <xf numFmtId="165" fontId="7" fillId="5" borderId="78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68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77" xfId="0" quotePrefix="1" applyFont="1" applyBorder="1" applyAlignment="1" applyProtection="1">
      <alignment horizontal="center"/>
    </xf>
    <xf numFmtId="4" fontId="7" fillId="11" borderId="45" xfId="2" applyNumberFormat="1" applyFont="1" applyFill="1" applyBorder="1" applyProtection="1">
      <protection locked="0"/>
    </xf>
    <xf numFmtId="0" fontId="7" fillId="11" borderId="45" xfId="1" applyNumberFormat="1" applyFont="1" applyFill="1" applyBorder="1" applyAlignment="1" applyProtection="1">
      <alignment horizontal="right"/>
    </xf>
    <xf numFmtId="165" fontId="6" fillId="11" borderId="45" xfId="2" applyNumberFormat="1" applyFont="1" applyFill="1" applyBorder="1" applyAlignment="1" applyProtection="1">
      <alignment horizontal="right"/>
      <protection locked="0"/>
    </xf>
    <xf numFmtId="165" fontId="6" fillId="11" borderId="45" xfId="0" applyNumberFormat="1" applyFont="1" applyFill="1" applyBorder="1" applyProtection="1">
      <protection locked="0"/>
    </xf>
    <xf numFmtId="165" fontId="6" fillId="11" borderId="52" xfId="0" applyNumberFormat="1" applyFont="1" applyFill="1" applyBorder="1" applyProtection="1">
      <protection locked="0"/>
    </xf>
    <xf numFmtId="4" fontId="7" fillId="11" borderId="20" xfId="2" applyNumberFormat="1" applyFont="1" applyFill="1" applyBorder="1" applyProtection="1">
      <protection locked="0"/>
    </xf>
    <xf numFmtId="0" fontId="7" fillId="11" borderId="20" xfId="1" applyNumberFormat="1" applyFont="1" applyFill="1" applyBorder="1" applyAlignment="1" applyProtection="1">
      <alignment horizontal="right"/>
    </xf>
    <xf numFmtId="165" fontId="6" fillId="10" borderId="20" xfId="2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Protection="1">
      <protection locked="0"/>
    </xf>
    <xf numFmtId="165" fontId="6" fillId="11" borderId="58" xfId="0" applyNumberFormat="1" applyFont="1" applyFill="1" applyBorder="1" applyProtection="1">
      <protection locked="0"/>
    </xf>
    <xf numFmtId="4" fontId="7" fillId="11" borderId="36" xfId="2" applyNumberFormat="1" applyFont="1" applyFill="1" applyBorder="1" applyProtection="1">
      <protection locked="0"/>
    </xf>
    <xf numFmtId="4" fontId="7" fillId="11" borderId="20" xfId="1" applyNumberFormat="1" applyFont="1" applyFill="1" applyBorder="1" applyAlignment="1" applyProtection="1">
      <alignment horizontal="right"/>
    </xf>
    <xf numFmtId="165" fontId="7" fillId="11" borderId="20" xfId="2" applyNumberFormat="1" applyFont="1" applyFill="1" applyBorder="1" applyAlignment="1" applyProtection="1">
      <alignment horizontal="right"/>
      <protection locked="0"/>
    </xf>
    <xf numFmtId="4" fontId="6" fillId="10" borderId="33" xfId="2" applyNumberFormat="1" applyFont="1" applyFill="1" applyBorder="1" applyProtection="1">
      <protection locked="0"/>
    </xf>
    <xf numFmtId="0" fontId="8" fillId="10" borderId="50" xfId="0" applyFont="1" applyFill="1" applyBorder="1" applyAlignment="1" applyProtection="1">
      <alignment horizontal="center"/>
    </xf>
    <xf numFmtId="0" fontId="8" fillId="10" borderId="45" xfId="0" applyFont="1" applyFill="1" applyBorder="1" applyProtection="1"/>
    <xf numFmtId="7" fontId="7" fillId="10" borderId="51" xfId="0" applyNumberFormat="1" applyFont="1" applyFill="1" applyBorder="1" applyProtection="1"/>
    <xf numFmtId="0" fontId="8" fillId="10" borderId="57" xfId="0" applyFont="1" applyFill="1" applyBorder="1" applyAlignment="1" applyProtection="1">
      <alignment horizontal="center"/>
    </xf>
    <xf numFmtId="0" fontId="2" fillId="10" borderId="20" xfId="0" applyFont="1" applyFill="1" applyBorder="1" applyProtection="1"/>
    <xf numFmtId="0" fontId="8" fillId="10" borderId="60" xfId="0" applyFont="1" applyFill="1" applyBorder="1" applyAlignment="1" applyProtection="1">
      <alignment horizontal="center"/>
    </xf>
    <xf numFmtId="0" fontId="2" fillId="10" borderId="36" xfId="0" applyFont="1" applyFill="1" applyBorder="1" applyProtection="1"/>
    <xf numFmtId="0" fontId="8" fillId="10" borderId="66" xfId="0" applyFont="1" applyFill="1" applyBorder="1" applyAlignment="1" applyProtection="1">
      <alignment horizontal="center"/>
    </xf>
    <xf numFmtId="0" fontId="8" fillId="10" borderId="37" xfId="0" applyFont="1" applyFill="1" applyBorder="1" applyProtection="1"/>
    <xf numFmtId="7" fontId="7" fillId="10" borderId="18" xfId="0" applyNumberFormat="1" applyFont="1" applyFill="1" applyBorder="1" applyProtection="1"/>
    <xf numFmtId="0" fontId="16" fillId="10" borderId="37" xfId="0" applyFont="1" applyFill="1" applyBorder="1" applyProtection="1"/>
    <xf numFmtId="7" fontId="7" fillId="10" borderId="17" xfId="0" applyNumberFormat="1" applyFont="1" applyFill="1" applyBorder="1" applyProtection="1"/>
    <xf numFmtId="4" fontId="7" fillId="11" borderId="44" xfId="2" applyNumberFormat="1" applyFont="1" applyFill="1" applyBorder="1" applyProtection="1">
      <protection locked="0"/>
    </xf>
    <xf numFmtId="0" fontId="8" fillId="10" borderId="13" xfId="0" applyFont="1" applyFill="1" applyBorder="1" applyProtection="1"/>
    <xf numFmtId="4" fontId="7" fillId="11" borderId="33" xfId="2" applyNumberFormat="1" applyFont="1" applyFill="1" applyBorder="1" applyProtection="1">
      <protection locked="0"/>
    </xf>
    <xf numFmtId="0" fontId="2" fillId="10" borderId="37" xfId="0" applyFont="1" applyFill="1" applyBorder="1" applyProtection="1"/>
    <xf numFmtId="0" fontId="2" fillId="10" borderId="75" xfId="0" applyFont="1" applyFill="1" applyBorder="1" applyAlignment="1" applyProtection="1">
      <alignment horizontal="center"/>
    </xf>
    <xf numFmtId="0" fontId="2" fillId="10" borderId="13" xfId="0" applyFont="1" applyFill="1" applyBorder="1" applyProtection="1"/>
    <xf numFmtId="165" fontId="7" fillId="11" borderId="20" xfId="1" applyNumberFormat="1" applyFont="1" applyFill="1" applyBorder="1" applyAlignment="1" applyProtection="1">
      <alignment horizontal="right"/>
    </xf>
    <xf numFmtId="0" fontId="2" fillId="10" borderId="66" xfId="0" applyFont="1" applyFill="1" applyBorder="1" applyAlignment="1" applyProtection="1">
      <alignment horizontal="center"/>
    </xf>
    <xf numFmtId="4" fontId="7" fillId="11" borderId="76" xfId="2" applyNumberFormat="1" applyFont="1" applyFill="1" applyBorder="1" applyProtection="1">
      <protection locked="0"/>
    </xf>
    <xf numFmtId="4" fontId="7" fillId="11" borderId="48" xfId="1" applyNumberFormat="1" applyFont="1" applyFill="1" applyBorder="1" applyAlignment="1" applyProtection="1">
      <alignment horizontal="right"/>
    </xf>
    <xf numFmtId="4" fontId="7" fillId="11" borderId="49" xfId="2" applyNumberFormat="1" applyFont="1" applyFill="1" applyBorder="1" applyProtection="1">
      <protection locked="0"/>
    </xf>
    <xf numFmtId="165" fontId="8" fillId="8" borderId="30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54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56" xfId="0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59" xfId="0" applyNumberFormat="1" applyFont="1" applyFill="1" applyBorder="1" applyProtection="1">
      <protection locked="0"/>
    </xf>
    <xf numFmtId="4" fontId="7" fillId="12" borderId="27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4" xfId="2" applyNumberFormat="1" applyFont="1" applyFill="1" applyBorder="1" applyAlignment="1" applyProtection="1">
      <alignment horizontal="right"/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62" xfId="0" applyNumberFormat="1" applyFont="1" applyFill="1" applyBorder="1" applyProtection="1">
      <protection locked="0"/>
    </xf>
    <xf numFmtId="165" fontId="6" fillId="13" borderId="14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64" xfId="0" applyNumberFormat="1" applyFont="1" applyFill="1" applyBorder="1" applyProtection="1"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19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68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69" xfId="0" applyNumberFormat="1" applyFont="1" applyFill="1" applyBorder="1" applyProtection="1">
      <protection locked="0"/>
    </xf>
    <xf numFmtId="165" fontId="4" fillId="13" borderId="16" xfId="2" applyNumberFormat="1" applyFont="1" applyFill="1" applyBorder="1" applyAlignment="1" applyProtection="1">
      <alignment horizontal="right"/>
      <protection locked="0"/>
    </xf>
    <xf numFmtId="165" fontId="7" fillId="12" borderId="16" xfId="1" applyNumberFormat="1" applyFont="1" applyFill="1" applyBorder="1" applyAlignment="1" applyProtection="1">
      <alignment horizontal="right"/>
      <protection locked="0"/>
    </xf>
    <xf numFmtId="165" fontId="7" fillId="12" borderId="69" xfId="1" applyNumberFormat="1" applyFont="1" applyFill="1" applyBorder="1" applyAlignment="1" applyProtection="1">
      <alignment horizontal="right"/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70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4" xfId="0" applyNumberFormat="1" applyFont="1" applyFill="1" applyBorder="1" applyProtection="1">
      <protection locked="0"/>
    </xf>
    <xf numFmtId="165" fontId="6" fillId="12" borderId="71" xfId="0" applyNumberFormat="1" applyFont="1" applyFill="1" applyBorder="1" applyProtection="1">
      <protection locked="0"/>
    </xf>
    <xf numFmtId="165" fontId="6" fillId="12" borderId="15" xfId="0" applyNumberFormat="1" applyFont="1" applyFill="1" applyBorder="1" applyProtection="1">
      <protection locked="0"/>
    </xf>
    <xf numFmtId="165" fontId="6" fillId="12" borderId="74" xfId="0" applyNumberFormat="1" applyFont="1" applyFill="1" applyBorder="1" applyProtection="1">
      <protection locked="0"/>
    </xf>
    <xf numFmtId="165" fontId="4" fillId="13" borderId="16" xfId="0" applyNumberFormat="1" applyFont="1" applyFill="1" applyBorder="1" applyAlignment="1" applyProtection="1">
      <alignment horizontal="right" wrapText="1"/>
      <protection locked="0"/>
    </xf>
    <xf numFmtId="165" fontId="4" fillId="13" borderId="69" xfId="0" applyNumberFormat="1" applyFont="1" applyFill="1" applyBorder="1" applyAlignment="1" applyProtection="1">
      <alignment horizontal="right" wrapText="1"/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78" xfId="0" applyNumberFormat="1" applyFont="1" applyFill="1" applyBorder="1" applyProtection="1">
      <protection locked="0"/>
    </xf>
    <xf numFmtId="165" fontId="7" fillId="12" borderId="21" xfId="0" applyNumberFormat="1" applyFont="1" applyFill="1" applyBorder="1" applyAlignment="1" applyProtection="1">
      <alignment horizontal="right"/>
      <protection locked="0"/>
    </xf>
    <xf numFmtId="165" fontId="7" fillId="13" borderId="21" xfId="0" applyNumberFormat="1" applyFont="1" applyFill="1" applyBorder="1" applyAlignment="1" applyProtection="1">
      <alignment horizontal="right"/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4" xfId="0" applyNumberFormat="1" applyFont="1" applyFill="1" applyBorder="1" applyAlignment="1" applyProtection="1">
      <alignment horizontal="right"/>
      <protection locked="0"/>
    </xf>
    <xf numFmtId="165" fontId="7" fillId="13" borderId="24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1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18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165" fontId="0" fillId="0" borderId="0" xfId="0" applyNumberFormat="1" applyProtection="1">
      <protection locked="0"/>
    </xf>
    <xf numFmtId="5" fontId="1" fillId="0" borderId="0" xfId="0" applyNumberFormat="1" applyFont="1" applyFill="1" applyBorder="1" applyProtection="1">
      <protection locked="0"/>
    </xf>
    <xf numFmtId="3" fontId="1" fillId="13" borderId="34" xfId="0" applyNumberFormat="1" applyFon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2" fillId="8" borderId="32" xfId="2" applyNumberFormat="1" applyFont="1" applyFill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vertical="top" wrapText="1"/>
    </xf>
    <xf numFmtId="0" fontId="8" fillId="8" borderId="30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2" xfId="0" applyNumberFormat="1" applyFill="1" applyBorder="1" applyAlignment="1" applyProtection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0" xfId="0" applyFont="1" applyBorder="1" applyAlignment="1" applyProtection="1"/>
    <xf numFmtId="0" fontId="0" fillId="0" borderId="12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2" xfId="0" applyFont="1" applyFill="1" applyBorder="1" applyAlignment="1" applyProtection="1">
      <alignment horizontal="right"/>
    </xf>
    <xf numFmtId="0" fontId="0" fillId="0" borderId="12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2" xfId="2" applyNumberFormat="1" applyFont="1" applyBorder="1" applyAlignment="1" applyProtection="1">
      <alignment horizontal="right"/>
    </xf>
    <xf numFmtId="165" fontId="18" fillId="6" borderId="41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2" xfId="0" applyNumberFormat="1" applyFont="1" applyFill="1" applyBorder="1" applyAlignment="1" applyProtection="1">
      <alignment horizontal="right" vertical="center" wrapText="1"/>
    </xf>
    <xf numFmtId="0" fontId="11" fillId="0" borderId="15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49" fontId="2" fillId="8" borderId="30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" fontId="8" fillId="8" borderId="30" xfId="2" applyNumberFormat="1" applyFont="1" applyFill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36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44" xfId="2" applyNumberFormat="1" applyFont="1" applyFill="1" applyBorder="1" applyAlignment="1" applyProtection="1">
      <alignment horizontal="left" vertical="top" wrapText="1"/>
      <protection locked="0"/>
    </xf>
    <xf numFmtId="0" fontId="0" fillId="0" borderId="3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3" fontId="8" fillId="8" borderId="43" xfId="2" applyNumberFormat="1" applyFont="1" applyFill="1" applyBorder="1" applyAlignment="1" applyProtection="1">
      <alignment horizontal="left" vertical="top" wrapText="1"/>
      <protection locked="0"/>
    </xf>
    <xf numFmtId="0" fontId="0" fillId="0" borderId="42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H1245"/>
  <sheetViews>
    <sheetView tabSelected="1" topLeftCell="B4" zoomScaleNormal="100" zoomScaleSheetLayoutView="100" zoomScalePageLayoutView="70" workbookViewId="0">
      <pane xSplit="3" ySplit="18" topLeftCell="E174" activePane="bottomRight" state="frozen"/>
      <selection activeCell="B4" sqref="B4"/>
      <selection pane="topRight" activeCell="E4" sqref="E4"/>
      <selection pane="bottomLeft" activeCell="B22" sqref="B22"/>
      <selection pane="bottomRight" activeCell="E8" sqref="E8:G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8" customWidth="1"/>
    <col min="5" max="5" width="16.140625" style="26" customWidth="1"/>
    <col min="6" max="6" width="13.140625" style="62" customWidth="1"/>
    <col min="7" max="7" width="19.28515625" style="49" customWidth="1"/>
    <col min="8" max="8" width="17.140625" style="50" customWidth="1"/>
    <col min="9" max="9" width="16.140625" style="50" customWidth="1"/>
    <col min="10" max="10" width="16.140625" style="51" customWidth="1"/>
    <col min="11" max="11" width="0.7109375" style="23" customWidth="1"/>
    <col min="12" max="12" width="20.42578125" style="112" customWidth="1"/>
    <col min="13" max="13" width="10.5703125" style="113" hidden="1" customWidth="1"/>
    <col min="14" max="14" width="2.140625" style="113" customWidth="1"/>
    <col min="15" max="15" width="20.42578125" style="112" customWidth="1"/>
    <col min="16" max="16" width="10.5703125" style="113" hidden="1" customWidth="1"/>
    <col min="17" max="17" width="2.140625" style="113" customWidth="1"/>
    <col min="18" max="18" width="20.42578125" style="112" customWidth="1"/>
    <col min="19" max="19" width="10.5703125" style="113" hidden="1" customWidth="1"/>
    <col min="20" max="20" width="2.140625" style="113" customWidth="1"/>
    <col min="21" max="21" width="20.42578125" style="112" customWidth="1"/>
    <col min="22" max="22" width="10.5703125" style="113" hidden="1" customWidth="1"/>
    <col min="23" max="23" width="2.140625" style="113" customWidth="1"/>
    <col min="24" max="24" width="20.42578125" style="112" customWidth="1"/>
    <col min="25" max="25" width="10.5703125" style="113" hidden="1" customWidth="1"/>
    <col min="26" max="26" width="2.140625" style="113" customWidth="1"/>
    <col min="27" max="68" width="0.28515625" style="114"/>
    <col min="69" max="138" width="0.28515625" style="115"/>
  </cols>
  <sheetData>
    <row r="1" spans="1:138" ht="13.5" thickBot="1">
      <c r="A1" s="336"/>
      <c r="B1" s="336"/>
      <c r="C1" s="336"/>
      <c r="D1" s="337"/>
      <c r="E1" s="343" t="s">
        <v>0</v>
      </c>
      <c r="F1" s="344"/>
      <c r="G1" s="344"/>
      <c r="H1" s="344"/>
      <c r="I1" s="344"/>
      <c r="J1" s="344"/>
      <c r="K1" s="345"/>
    </row>
    <row r="2" spans="1:138" s="1" customFormat="1">
      <c r="A2" s="338" t="s">
        <v>220</v>
      </c>
      <c r="B2" s="339"/>
      <c r="C2" s="339"/>
      <c r="D2" s="340"/>
      <c r="E2" s="349" t="s">
        <v>221</v>
      </c>
      <c r="F2" s="339"/>
      <c r="G2" s="339"/>
      <c r="H2" s="339"/>
      <c r="I2" s="339"/>
      <c r="J2" s="339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46"/>
      <c r="F3" s="347"/>
      <c r="G3" s="347"/>
      <c r="H3" s="347"/>
      <c r="I3" s="347"/>
      <c r="J3" s="347"/>
      <c r="K3" s="348"/>
      <c r="O3" s="114"/>
    </row>
    <row r="4" spans="1:138" ht="4.5" customHeight="1" thickBot="1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2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63" t="s">
        <v>424</v>
      </c>
      <c r="F5" s="364"/>
      <c r="G5" s="364"/>
      <c r="H5" s="361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56" t="s">
        <v>429</v>
      </c>
      <c r="F6" s="365"/>
      <c r="G6" s="365"/>
      <c r="H6" s="362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56" t="s">
        <v>425</v>
      </c>
      <c r="F7" s="365"/>
      <c r="G7" s="365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56" t="s">
        <v>410</v>
      </c>
      <c r="F8" s="365"/>
      <c r="G8" s="365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56" t="s">
        <v>415</v>
      </c>
      <c r="F9" s="365"/>
      <c r="G9" s="365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56" t="s">
        <v>416</v>
      </c>
      <c r="F10" s="365"/>
      <c r="G10" s="365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18">
        <v>311394</v>
      </c>
      <c r="F11" s="323" t="s">
        <v>407</v>
      </c>
      <c r="G11" s="332" t="s">
        <v>205</v>
      </c>
      <c r="H11" s="333"/>
      <c r="I11" s="319">
        <v>275000</v>
      </c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66">
        <v>16</v>
      </c>
      <c r="F12" s="367"/>
      <c r="G12" s="334" t="s">
        <v>211</v>
      </c>
      <c r="H12" s="334"/>
      <c r="I12" s="320">
        <f>104*5</f>
        <v>520</v>
      </c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56" t="s">
        <v>428</v>
      </c>
      <c r="F13" s="357"/>
      <c r="G13" s="334" t="s">
        <v>212</v>
      </c>
      <c r="H13" s="334"/>
      <c r="I13" s="328" t="s">
        <v>409</v>
      </c>
      <c r="J13" s="329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58">
        <v>69.319000000000003</v>
      </c>
      <c r="F14" s="357"/>
      <c r="G14" s="334" t="s">
        <v>213</v>
      </c>
      <c r="H14" s="334"/>
      <c r="I14" s="328" t="s">
        <v>410</v>
      </c>
      <c r="J14" s="329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30" t="s">
        <v>426</v>
      </c>
      <c r="F15" s="331"/>
      <c r="G15" s="335"/>
      <c r="H15" s="335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52" t="s">
        <v>403</v>
      </c>
      <c r="G16" s="353"/>
      <c r="H16" s="261">
        <f>G26+G31+G176+G196+G209+G217</f>
        <v>7494485</v>
      </c>
      <c r="I16" s="264">
        <f>IFERROR((H16/E225),"")</f>
        <v>6.9388826951594637E-2</v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21.75" thickBot="1">
      <c r="A17" s="2"/>
      <c r="B17" s="77"/>
      <c r="C17" s="180" t="s">
        <v>196</v>
      </c>
      <c r="D17" s="78"/>
      <c r="E17" s="80">
        <f>E225</f>
        <v>108007086</v>
      </c>
      <c r="F17" s="354" t="s">
        <v>200</v>
      </c>
      <c r="G17" s="355"/>
      <c r="H17" s="87">
        <f>IFERROR((SUM(G218, H218, J218)/$E$11),"")</f>
        <v>281.77016255933</v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>
        <f>IFERROR(($G$224/$E$11),"")</f>
        <v>153.88478904538945</v>
      </c>
      <c r="H18" s="92">
        <f>IFERROR(($H$224/$E$11),"")</f>
        <v>170.46314315625864</v>
      </c>
      <c r="I18" s="169">
        <f>IFERROR(($I$224/$E$11),"")</f>
        <v>10.66257859817466</v>
      </c>
      <c r="J18" s="169">
        <f>IFERROR(($J$224/$E$11),"")</f>
        <v>11.839736796470067</v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24"/>
      <c r="C20" s="359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8.75" thickBot="1">
      <c r="A21" s="2"/>
      <c r="B21" s="325"/>
      <c r="C21" s="360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>
        <v>311394</v>
      </c>
      <c r="F23" s="156">
        <f>IFERROR((G23/$E$11),"")</f>
        <v>1.4957064041054098</v>
      </c>
      <c r="G23" s="266">
        <v>465754</v>
      </c>
      <c r="H23" s="267">
        <v>515931</v>
      </c>
      <c r="I23" s="267">
        <v>0</v>
      </c>
      <c r="J23" s="268">
        <v>0</v>
      </c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>
        <v>311394</v>
      </c>
      <c r="F24" s="156">
        <f>IFERROR((G24/$E$11),"")</f>
        <v>7.6372826708285961</v>
      </c>
      <c r="G24" s="266">
        <v>2378204</v>
      </c>
      <c r="H24" s="267">
        <v>2634413</v>
      </c>
      <c r="I24" s="267">
        <v>175071</v>
      </c>
      <c r="J24" s="268">
        <v>194398</v>
      </c>
      <c r="K24" s="15"/>
      <c r="L24" s="129" t="s">
        <v>414</v>
      </c>
      <c r="M24" s="130"/>
      <c r="N24" s="131"/>
      <c r="O24" s="129"/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5">
        <v>311394</v>
      </c>
      <c r="F25" s="177">
        <f>IFERROR((G25/$E$11),"")</f>
        <v>0.30472327662061566</v>
      </c>
      <c r="G25" s="269">
        <v>94889</v>
      </c>
      <c r="H25" s="270">
        <v>105111</v>
      </c>
      <c r="I25" s="270"/>
      <c r="J25" s="271"/>
      <c r="K25" s="15"/>
      <c r="L25" s="129" t="s">
        <v>427</v>
      </c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>
        <f>IFERROR((G26+H26+I26+J26)/$E$225,"")</f>
        <v>6.077167011060737E-2</v>
      </c>
      <c r="C26" s="173" t="s">
        <v>235</v>
      </c>
      <c r="D26" s="162"/>
      <c r="E26" s="193"/>
      <c r="F26" s="194">
        <f>IFERROR((G26/$G$218),"")</f>
        <v>7.3256469445115047E-2</v>
      </c>
      <c r="G26" s="195">
        <f>SUM(G23:G25)</f>
        <v>2938847</v>
      </c>
      <c r="H26" s="195">
        <f>SUM(H23:H25)</f>
        <v>3255455</v>
      </c>
      <c r="I26" s="195">
        <f>SUM(I23:I25)</f>
        <v>175071</v>
      </c>
      <c r="J26" s="195">
        <f>SUM(J23:J25)</f>
        <v>194398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>
        <v>311394</v>
      </c>
      <c r="F28" s="156">
        <f t="shared" ref="F28:F29" si="0">IFERROR((G28/$E$11),"")</f>
        <v>0.21579413861538757</v>
      </c>
      <c r="G28" s="266">
        <v>67197</v>
      </c>
      <c r="H28" s="272">
        <v>74436</v>
      </c>
      <c r="I28" s="272">
        <v>24000</v>
      </c>
      <c r="J28" s="273">
        <v>40000</v>
      </c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65">
        <v>311394</v>
      </c>
      <c r="F29" s="156">
        <f t="shared" si="0"/>
        <v>0.32209034213889798</v>
      </c>
      <c r="G29" s="266">
        <v>100297</v>
      </c>
      <c r="H29" s="272">
        <v>111103</v>
      </c>
      <c r="I29" s="272"/>
      <c r="J29" s="273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5">
        <v>311394</v>
      </c>
      <c r="F30" s="177">
        <f>IFERROR((G30/$E$11),"")</f>
        <v>4.2829983878944357E-2</v>
      </c>
      <c r="G30" s="269">
        <v>13337</v>
      </c>
      <c r="H30" s="270">
        <v>14773</v>
      </c>
      <c r="I30" s="270"/>
      <c r="J30" s="271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>
        <f>IFERROR((G31+H31+I31+J31)/$E$225,"")</f>
        <v>4.1214240332342637E-3</v>
      </c>
      <c r="C31" s="20" t="s">
        <v>37</v>
      </c>
      <c r="D31" s="164"/>
      <c r="E31" s="175"/>
      <c r="F31" s="194">
        <f>IFERROR((G31/$G$218),"")</f>
        <v>4.5075638936731312E-3</v>
      </c>
      <c r="G31" s="56">
        <f>SUM(G28:G30)</f>
        <v>180831</v>
      </c>
      <c r="H31" s="56">
        <f>SUM(H28:H30)</f>
        <v>200312</v>
      </c>
      <c r="I31" s="56">
        <f>SUM(I28:I30)</f>
        <v>24000</v>
      </c>
      <c r="J31" s="56">
        <f>SUM(J28:J30)</f>
        <v>40000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65">
        <v>311394</v>
      </c>
      <c r="F33" s="63">
        <f t="shared" ref="F33:F38" si="1">IFERROR((G33/$E$11),"")</f>
        <v>0</v>
      </c>
      <c r="G33" s="275">
        <v>0</v>
      </c>
      <c r="H33" s="275">
        <v>0</v>
      </c>
      <c r="I33" s="272">
        <v>0</v>
      </c>
      <c r="J33" s="273">
        <v>0</v>
      </c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65">
        <v>311394</v>
      </c>
      <c r="F34" s="63">
        <f t="shared" si="1"/>
        <v>3.8400739898649299</v>
      </c>
      <c r="G34" s="275">
        <f>311400*8*0.48</f>
        <v>1195776</v>
      </c>
      <c r="H34" s="275">
        <f>311400*8*0.52</f>
        <v>1295424</v>
      </c>
      <c r="I34" s="272">
        <v>0</v>
      </c>
      <c r="J34" s="273">
        <v>0</v>
      </c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65">
        <v>311394</v>
      </c>
      <c r="F35" s="63">
        <f t="shared" si="1"/>
        <v>0</v>
      </c>
      <c r="G35" s="275">
        <v>0</v>
      </c>
      <c r="H35" s="272">
        <v>0</v>
      </c>
      <c r="I35" s="272">
        <v>0</v>
      </c>
      <c r="J35" s="273">
        <v>0</v>
      </c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65">
        <v>311394</v>
      </c>
      <c r="F36" s="63">
        <f t="shared" si="1"/>
        <v>3.9029653750553961</v>
      </c>
      <c r="G36" s="275">
        <f>2411136-G34</f>
        <v>1215360</v>
      </c>
      <c r="H36" s="275">
        <f>2670893-H34</f>
        <v>1375469</v>
      </c>
      <c r="I36" s="272">
        <v>1386955</v>
      </c>
      <c r="J36" s="273">
        <v>729413</v>
      </c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65">
        <v>311394</v>
      </c>
      <c r="F37" s="63">
        <f t="shared" si="1"/>
        <v>0</v>
      </c>
      <c r="G37" s="276">
        <v>0</v>
      </c>
      <c r="H37" s="272">
        <v>0</v>
      </c>
      <c r="I37" s="272">
        <v>0</v>
      </c>
      <c r="J37" s="273">
        <v>0</v>
      </c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5">
        <v>311394</v>
      </c>
      <c r="F38" s="177">
        <f t="shared" si="1"/>
        <v>0</v>
      </c>
      <c r="G38" s="269">
        <v>0</v>
      </c>
      <c r="H38" s="270">
        <v>0</v>
      </c>
      <c r="I38" s="270">
        <v>0</v>
      </c>
      <c r="J38" s="271">
        <v>0</v>
      </c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>
        <f>IFERROR((G39+H39+I39+J39)/$E$225,"")</f>
        <v>6.6647451260744131E-2</v>
      </c>
      <c r="C39" s="199" t="s">
        <v>46</v>
      </c>
      <c r="D39" s="164"/>
      <c r="E39" s="175"/>
      <c r="F39" s="157">
        <f>IFERROR((G39/$G$218),"")</f>
        <v>6.0102247824407637E-2</v>
      </c>
      <c r="G39" s="55">
        <f>SUM(G33:G38)</f>
        <v>2411136</v>
      </c>
      <c r="H39" s="55">
        <f>SUM(H33:H38)</f>
        <v>2670893</v>
      </c>
      <c r="I39" s="55">
        <f>SUM(I33:I38)</f>
        <v>1386955</v>
      </c>
      <c r="J39" s="55">
        <f>SUM(J33:J38)</f>
        <v>729413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65">
        <v>311394</v>
      </c>
      <c r="F41" s="63">
        <f t="shared" ref="F41:F46" si="2">IFERROR((G41/$E$11),"")</f>
        <v>10.615288027386526</v>
      </c>
      <c r="G41" s="277">
        <f>3380537-75000</f>
        <v>3305537</v>
      </c>
      <c r="H41" s="272">
        <f>3744730-75000</f>
        <v>3669730</v>
      </c>
      <c r="I41" s="272"/>
      <c r="J41" s="273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65">
        <v>311394</v>
      </c>
      <c r="F42" s="63">
        <f t="shared" si="2"/>
        <v>0</v>
      </c>
      <c r="G42" s="277"/>
      <c r="H42" s="272"/>
      <c r="I42" s="272"/>
      <c r="J42" s="273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65">
        <v>311394</v>
      </c>
      <c r="F43" s="63">
        <f t="shared" si="2"/>
        <v>0</v>
      </c>
      <c r="G43" s="277"/>
      <c r="H43" s="278"/>
      <c r="I43" s="278"/>
      <c r="J43" s="279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65">
        <v>311394</v>
      </c>
      <c r="F44" s="172">
        <f t="shared" si="2"/>
        <v>0.24085242490221392</v>
      </c>
      <c r="G44" s="280">
        <v>75000</v>
      </c>
      <c r="H44" s="281">
        <v>75000</v>
      </c>
      <c r="I44" s="281"/>
      <c r="J44" s="282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65">
        <v>311394</v>
      </c>
      <c r="F45" s="63">
        <f t="shared" si="2"/>
        <v>0</v>
      </c>
      <c r="G45" s="275"/>
      <c r="H45" s="278"/>
      <c r="I45" s="278"/>
      <c r="J45" s="279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65">
        <v>311394</v>
      </c>
      <c r="F46" s="177">
        <f t="shared" si="2"/>
        <v>9.5987719737695657E-3</v>
      </c>
      <c r="G46" s="283">
        <v>2989</v>
      </c>
      <c r="H46" s="284">
        <v>3311</v>
      </c>
      <c r="I46" s="284"/>
      <c r="J46" s="285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>
        <f>IFERROR((G47+H47+I47+J47)/$E$225,"")</f>
        <v>6.6028695561696757E-2</v>
      </c>
      <c r="C47" s="20" t="s">
        <v>51</v>
      </c>
      <c r="D47" s="164"/>
      <c r="E47" s="175"/>
      <c r="F47" s="157">
        <f>IFERROR((G47/$G$218),"")</f>
        <v>8.4340957197075017E-2</v>
      </c>
      <c r="G47" s="181">
        <f>SUM(G41:G46)</f>
        <v>3383526</v>
      </c>
      <c r="H47" s="56">
        <f>SUM(H41:H46)</f>
        <v>3748041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65">
        <v>311394</v>
      </c>
      <c r="F49" s="63">
        <f t="shared" ref="F49:F53" si="3">IFERROR((G49/$E$11),"")</f>
        <v>0</v>
      </c>
      <c r="G49" s="277"/>
      <c r="H49" s="278"/>
      <c r="I49" s="278"/>
      <c r="J49" s="279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65">
        <v>311394</v>
      </c>
      <c r="F50" s="156">
        <f t="shared" si="3"/>
        <v>10.726812334213248</v>
      </c>
      <c r="G50" s="286">
        <v>3340265</v>
      </c>
      <c r="H50" s="287">
        <v>3700119</v>
      </c>
      <c r="I50" s="287"/>
      <c r="J50" s="288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65">
        <v>311394</v>
      </c>
      <c r="F51" s="63">
        <f t="shared" si="3"/>
        <v>0</v>
      </c>
      <c r="G51" s="276"/>
      <c r="H51" s="276"/>
      <c r="I51" s="287"/>
      <c r="J51" s="288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65">
        <v>311394</v>
      </c>
      <c r="F52" s="172">
        <f t="shared" si="3"/>
        <v>0</v>
      </c>
      <c r="G52" s="276"/>
      <c r="H52" s="276"/>
      <c r="I52" s="289"/>
      <c r="J52" s="290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65">
        <v>311394</v>
      </c>
      <c r="F53" s="177">
        <f t="shared" si="3"/>
        <v>0</v>
      </c>
      <c r="G53" s="283"/>
      <c r="H53" s="283"/>
      <c r="I53" s="291"/>
      <c r="J53" s="292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>
        <f>IFERROR((G54+H54+I54+J54)/$E$225,"")</f>
        <v>6.5184463915636051E-2</v>
      </c>
      <c r="C54" s="20" t="s">
        <v>59</v>
      </c>
      <c r="D54" s="164"/>
      <c r="E54" s="175"/>
      <c r="F54" s="157">
        <f>IFERROR((G54/$G$218),"")</f>
        <v>8.3262592748478303E-2</v>
      </c>
      <c r="G54" s="56">
        <f>SUM(G49:G53)</f>
        <v>3340265</v>
      </c>
      <c r="H54" s="56">
        <f>SUM(H49:H53)</f>
        <v>3700119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65">
        <v>311394</v>
      </c>
      <c r="F56" s="63">
        <f t="shared" ref="F56:F60" si="4">IFERROR((G56/$E$11),"")</f>
        <v>0.14406507511384292</v>
      </c>
      <c r="G56" s="277">
        <v>44861</v>
      </c>
      <c r="H56" s="272">
        <v>49694</v>
      </c>
      <c r="I56" s="272"/>
      <c r="J56" s="273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65">
        <v>311394</v>
      </c>
      <c r="F57" s="63">
        <f t="shared" si="4"/>
        <v>0</v>
      </c>
      <c r="G57" s="277"/>
      <c r="H57" s="272"/>
      <c r="I57" s="272"/>
      <c r="J57" s="273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65">
        <v>311394</v>
      </c>
      <c r="F58" s="63">
        <f t="shared" si="4"/>
        <v>0</v>
      </c>
      <c r="G58" s="277"/>
      <c r="H58" s="272"/>
      <c r="I58" s="272"/>
      <c r="J58" s="273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265">
        <v>311394</v>
      </c>
      <c r="F59" s="63">
        <f t="shared" si="4"/>
        <v>2.0489925945907759</v>
      </c>
      <c r="G59" s="277">
        <v>638044</v>
      </c>
      <c r="H59" s="267">
        <v>706782</v>
      </c>
      <c r="I59" s="267"/>
      <c r="J59" s="268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265">
        <v>311394</v>
      </c>
      <c r="F60" s="177">
        <f t="shared" si="4"/>
        <v>0</v>
      </c>
      <c r="G60" s="293"/>
      <c r="H60" s="294"/>
      <c r="I60" s="294"/>
      <c r="J60" s="29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>
        <f>IFERROR((G61+H61+I61+J61)/$E$225,"")</f>
        <v>1.332672747045504E-2</v>
      </c>
      <c r="C61" s="20" t="s">
        <v>65</v>
      </c>
      <c r="D61" s="164"/>
      <c r="E61" s="175"/>
      <c r="F61" s="204">
        <f>IFERROR((G61/$G$218),"")</f>
        <v>1.7022733495965014E-2</v>
      </c>
      <c r="G61" s="205">
        <f>SUM(G56:G60)</f>
        <v>682905</v>
      </c>
      <c r="H61" s="205">
        <f>SUM(H56:H60)</f>
        <v>756476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265">
        <v>311394</v>
      </c>
      <c r="F63" s="63">
        <f t="shared" ref="F63:F76" si="5">IFERROR((G63/$E$11),"")</f>
        <v>0</v>
      </c>
      <c r="G63" s="296"/>
      <c r="H63" s="296"/>
      <c r="I63" s="297"/>
      <c r="J63" s="298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65">
        <v>311394</v>
      </c>
      <c r="F64" s="63">
        <f t="shared" si="5"/>
        <v>0.52470824742930178</v>
      </c>
      <c r="G64" s="286">
        <v>163391</v>
      </c>
      <c r="H64" s="272">
        <v>180994</v>
      </c>
      <c r="I64" s="272"/>
      <c r="J64" s="273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65">
        <v>311394</v>
      </c>
      <c r="F65" s="63">
        <f t="shared" si="5"/>
        <v>0</v>
      </c>
      <c r="G65" s="277"/>
      <c r="H65" s="272"/>
      <c r="I65" s="272"/>
      <c r="J65" s="273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65">
        <v>311394</v>
      </c>
      <c r="F66" s="63">
        <f t="shared" si="5"/>
        <v>0</v>
      </c>
      <c r="G66" s="277"/>
      <c r="H66" s="272"/>
      <c r="I66" s="272"/>
      <c r="J66" s="273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65">
        <v>311394</v>
      </c>
      <c r="F67" s="63">
        <f t="shared" si="5"/>
        <v>0</v>
      </c>
      <c r="G67" s="277"/>
      <c r="H67" s="272"/>
      <c r="I67" s="272"/>
      <c r="J67" s="273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65">
        <v>311394</v>
      </c>
      <c r="F68" s="63">
        <f t="shared" si="5"/>
        <v>0</v>
      </c>
      <c r="G68" s="277"/>
      <c r="H68" s="272"/>
      <c r="I68" s="272"/>
      <c r="J68" s="273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65">
        <v>311394</v>
      </c>
      <c r="F69" s="63">
        <f t="shared" si="5"/>
        <v>4.0023507196670458</v>
      </c>
      <c r="G69" s="277">
        <v>1246308</v>
      </c>
      <c r="H69" s="272">
        <v>1380575</v>
      </c>
      <c r="I69" s="272"/>
      <c r="J69" s="273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65">
        <v>311394</v>
      </c>
      <c r="F70" s="63">
        <f t="shared" si="5"/>
        <v>0</v>
      </c>
      <c r="G70" s="277"/>
      <c r="H70" s="272"/>
      <c r="I70" s="272"/>
      <c r="J70" s="273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65">
        <v>311394</v>
      </c>
      <c r="F71" s="63">
        <f t="shared" si="5"/>
        <v>2.8413424793027482</v>
      </c>
      <c r="G71" s="277">
        <v>884777</v>
      </c>
      <c r="H71" s="272">
        <v>980095</v>
      </c>
      <c r="I71" s="272"/>
      <c r="J71" s="273"/>
      <c r="K71" s="15"/>
      <c r="L71" s="129" t="s">
        <v>417</v>
      </c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65">
        <v>311394</v>
      </c>
      <c r="F72" s="172">
        <f t="shared" si="5"/>
        <v>0</v>
      </c>
      <c r="G72" s="276"/>
      <c r="H72" s="281"/>
      <c r="I72" s="281"/>
      <c r="J72" s="282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265">
        <v>311394</v>
      </c>
      <c r="F73" s="63">
        <f t="shared" si="5"/>
        <v>0</v>
      </c>
      <c r="G73" s="277"/>
      <c r="H73" s="277"/>
      <c r="I73" s="278"/>
      <c r="J73" s="279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265">
        <v>311394</v>
      </c>
      <c r="F74" s="63">
        <f t="shared" si="5"/>
        <v>0</v>
      </c>
      <c r="G74" s="277"/>
      <c r="H74" s="277"/>
      <c r="I74" s="278"/>
      <c r="J74" s="279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65">
        <v>311394</v>
      </c>
      <c r="F75" s="63">
        <f t="shared" si="5"/>
        <v>0</v>
      </c>
      <c r="G75" s="277"/>
      <c r="H75" s="277"/>
      <c r="I75" s="278"/>
      <c r="J75" s="279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265">
        <v>311394</v>
      </c>
      <c r="F76" s="177">
        <f t="shared" si="5"/>
        <v>0.25955220717162181</v>
      </c>
      <c r="G76" s="283">
        <v>80823</v>
      </c>
      <c r="H76" s="284">
        <v>89531</v>
      </c>
      <c r="I76" s="284"/>
      <c r="J76" s="285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>
        <f>IFERROR((G77+H77+I77+J77)/$E$225,"")</f>
        <v>4.6353384628856666E-2</v>
      </c>
      <c r="C77" s="211" t="s">
        <v>80</v>
      </c>
      <c r="D77" s="162"/>
      <c r="E77" s="193"/>
      <c r="F77" s="194">
        <f>IFERROR((G77/$G$218),"")</f>
        <v>5.9208940995061098E-2</v>
      </c>
      <c r="G77" s="161">
        <f>SUM(G63:G76)</f>
        <v>2375299</v>
      </c>
      <c r="H77" s="161">
        <f>SUM(H63:H76)</f>
        <v>2631195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65">
        <v>311394</v>
      </c>
      <c r="F79" s="63">
        <f t="shared" ref="F79:F88" si="6">IFERROR((G79/$E$11),"")</f>
        <v>2.1601411716346495</v>
      </c>
      <c r="G79" s="277">
        <v>672655</v>
      </c>
      <c r="H79" s="272">
        <v>745122</v>
      </c>
      <c r="I79" s="272"/>
      <c r="J79" s="273"/>
      <c r="K79" s="15"/>
      <c r="L79" s="129"/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65">
        <v>311394</v>
      </c>
      <c r="F80" s="63">
        <f t="shared" si="6"/>
        <v>9.5489958059564409E-2</v>
      </c>
      <c r="G80" s="277">
        <v>29735</v>
      </c>
      <c r="H80" s="272">
        <v>32938</v>
      </c>
      <c r="I80" s="272"/>
      <c r="J80" s="273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65">
        <v>311394</v>
      </c>
      <c r="F81" s="63">
        <f t="shared" si="6"/>
        <v>2.6834428409025222</v>
      </c>
      <c r="G81" s="277">
        <v>835608</v>
      </c>
      <c r="H81" s="272">
        <v>925630</v>
      </c>
      <c r="I81" s="272"/>
      <c r="J81" s="273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65">
        <v>311394</v>
      </c>
      <c r="F82" s="63">
        <f t="shared" si="6"/>
        <v>0</v>
      </c>
      <c r="G82" s="276"/>
      <c r="H82" s="272"/>
      <c r="I82" s="272"/>
      <c r="J82" s="273"/>
      <c r="K82" s="15"/>
      <c r="L82" s="129" t="s">
        <v>411</v>
      </c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65">
        <v>311394</v>
      </c>
      <c r="F83" s="63">
        <f t="shared" si="6"/>
        <v>0</v>
      </c>
      <c r="G83" s="277"/>
      <c r="H83" s="272"/>
      <c r="I83" s="272"/>
      <c r="J83" s="273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65">
        <v>311394</v>
      </c>
      <c r="F84" s="63">
        <f t="shared" si="6"/>
        <v>6.1436636544056726E-2</v>
      </c>
      <c r="G84" s="276">
        <v>19131</v>
      </c>
      <c r="H84" s="281">
        <v>21192</v>
      </c>
      <c r="I84" s="272"/>
      <c r="J84" s="273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65">
        <v>311394</v>
      </c>
      <c r="F85" s="63">
        <f t="shared" si="6"/>
        <v>0</v>
      </c>
      <c r="G85" s="277"/>
      <c r="H85" s="277"/>
      <c r="I85" s="272"/>
      <c r="J85" s="273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65">
        <v>311394</v>
      </c>
      <c r="F86" s="63">
        <f t="shared" si="6"/>
        <v>0</v>
      </c>
      <c r="G86" s="277"/>
      <c r="H86" s="277"/>
      <c r="I86" s="272"/>
      <c r="J86" s="273"/>
      <c r="K86" s="15"/>
      <c r="L86" s="129" t="s">
        <v>419</v>
      </c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265">
        <v>311394</v>
      </c>
      <c r="F87" s="63">
        <f t="shared" si="6"/>
        <v>0</v>
      </c>
      <c r="G87" s="277"/>
      <c r="H87" s="278"/>
      <c r="I87" s="278"/>
      <c r="J87" s="279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5">
        <v>311394</v>
      </c>
      <c r="F88" s="177">
        <f t="shared" si="6"/>
        <v>0</v>
      </c>
      <c r="G88" s="277"/>
      <c r="H88" s="272"/>
      <c r="I88" s="270"/>
      <c r="J88" s="271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>
        <f>IFERROR((G89+H89+I89+J89)/$E$225,"")</f>
        <v>3.0386997016103184E-2</v>
      </c>
      <c r="C89" s="211" t="s">
        <v>91</v>
      </c>
      <c r="D89" s="162"/>
      <c r="E89" s="193"/>
      <c r="F89" s="194">
        <f>IFERROR((G89/$G$218),"")</f>
        <v>3.8814464655901632E-2</v>
      </c>
      <c r="G89" s="161">
        <f>SUM(G79:G88)</f>
        <v>1557129</v>
      </c>
      <c r="H89" s="161">
        <f>SUM(H79:H88)</f>
        <v>1724882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65">
        <v>311394</v>
      </c>
      <c r="F91" s="63">
        <f t="shared" ref="F91:F103" si="7">IFERROR((G91/$E$11),"")</f>
        <v>1.2909882656698588</v>
      </c>
      <c r="G91" s="277">
        <v>402006</v>
      </c>
      <c r="H91" s="272">
        <v>445315</v>
      </c>
      <c r="I91" s="272"/>
      <c r="J91" s="273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65">
        <v>311394</v>
      </c>
      <c r="F92" s="63">
        <f t="shared" si="7"/>
        <v>5.9473946190356912</v>
      </c>
      <c r="G92" s="277">
        <v>1851983</v>
      </c>
      <c r="H92" s="272">
        <v>2051502</v>
      </c>
      <c r="I92" s="272"/>
      <c r="J92" s="273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65">
        <v>311394</v>
      </c>
      <c r="F93" s="63">
        <f t="shared" si="7"/>
        <v>0</v>
      </c>
      <c r="G93" s="277"/>
      <c r="H93" s="277"/>
      <c r="I93" s="272"/>
      <c r="J93" s="273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65">
        <v>311394</v>
      </c>
      <c r="F94" s="63">
        <f t="shared" si="7"/>
        <v>0</v>
      </c>
      <c r="G94" s="277"/>
      <c r="H94" s="272"/>
      <c r="I94" s="272"/>
      <c r="J94" s="273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65">
        <v>311394</v>
      </c>
      <c r="F95" s="63">
        <f t="shared" si="7"/>
        <v>1.7134658985079996</v>
      </c>
      <c r="G95" s="277">
        <v>533563</v>
      </c>
      <c r="H95" s="272">
        <v>591045</v>
      </c>
      <c r="I95" s="272"/>
      <c r="J95" s="273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65">
        <v>311394</v>
      </c>
      <c r="F96" s="63">
        <f t="shared" si="7"/>
        <v>0</v>
      </c>
      <c r="G96" s="277"/>
      <c r="H96" s="272"/>
      <c r="I96" s="272"/>
      <c r="J96" s="273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65">
        <v>311394</v>
      </c>
      <c r="F97" s="63">
        <f t="shared" si="7"/>
        <v>0</v>
      </c>
      <c r="G97" s="274"/>
      <c r="H97" s="272"/>
      <c r="I97" s="272"/>
      <c r="J97" s="273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65">
        <v>311394</v>
      </c>
      <c r="F98" s="63">
        <f t="shared" si="7"/>
        <v>3.9542862097535596</v>
      </c>
      <c r="G98" s="277">
        <v>1231341</v>
      </c>
      <c r="H98" s="277">
        <v>1363997</v>
      </c>
      <c r="I98" s="272"/>
      <c r="J98" s="273"/>
      <c r="K98" s="15"/>
      <c r="L98" s="129">
        <v>300000</v>
      </c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65">
        <v>311394</v>
      </c>
      <c r="F99" s="63">
        <f t="shared" si="7"/>
        <v>0</v>
      </c>
      <c r="G99" s="277"/>
      <c r="H99" s="277"/>
      <c r="I99" s="272"/>
      <c r="J99" s="273"/>
      <c r="K99" s="15"/>
      <c r="L99" s="129">
        <v>250000</v>
      </c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65">
        <v>311394</v>
      </c>
      <c r="F100" s="63">
        <f t="shared" si="7"/>
        <v>0</v>
      </c>
      <c r="G100" s="277"/>
      <c r="H100" s="272"/>
      <c r="I100" s="272"/>
      <c r="J100" s="273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65">
        <v>311394</v>
      </c>
      <c r="F101" s="63">
        <f t="shared" si="7"/>
        <v>0</v>
      </c>
      <c r="G101" s="276"/>
      <c r="H101" s="272"/>
      <c r="I101" s="272"/>
      <c r="J101" s="273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65">
        <v>311394</v>
      </c>
      <c r="F102" s="63">
        <f t="shared" si="7"/>
        <v>1.7247442147247538</v>
      </c>
      <c r="G102" s="276">
        <v>537075</v>
      </c>
      <c r="H102" s="272">
        <v>594936</v>
      </c>
      <c r="I102" s="272"/>
      <c r="J102" s="273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5">
        <v>311394</v>
      </c>
      <c r="F103" s="177">
        <f t="shared" si="7"/>
        <v>0</v>
      </c>
      <c r="G103" s="283"/>
      <c r="H103" s="270"/>
      <c r="I103" s="270"/>
      <c r="J103" s="271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>
        <f>IFERROR((G104+H104+I104+J104)/$E$225,"")</f>
        <v>8.890863882764137E-2</v>
      </c>
      <c r="C104" s="211" t="s">
        <v>107</v>
      </c>
      <c r="D104" s="162"/>
      <c r="E104" s="193"/>
      <c r="F104" s="194">
        <f>IFERROR((G104/$G$218),"")</f>
        <v>0.11356635122036701</v>
      </c>
      <c r="G104" s="161">
        <f>SUM(G91:G103)</f>
        <v>4555968</v>
      </c>
      <c r="H104" s="161">
        <f>SUM(H91:H103)</f>
        <v>5046795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65">
        <v>311394</v>
      </c>
      <c r="F106" s="63">
        <f t="shared" ref="F106:F118" si="8">IFERROR((G106/$E$11),"")</f>
        <v>0</v>
      </c>
      <c r="G106" s="277"/>
      <c r="H106" s="272"/>
      <c r="I106" s="272"/>
      <c r="J106" s="273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65">
        <v>311394</v>
      </c>
      <c r="F107" s="63">
        <f t="shared" si="8"/>
        <v>0.57356275329646689</v>
      </c>
      <c r="G107" s="277">
        <v>178604</v>
      </c>
      <c r="H107" s="272">
        <v>197846</v>
      </c>
      <c r="I107" s="272"/>
      <c r="J107" s="273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65">
        <v>311394</v>
      </c>
      <c r="F108" s="63">
        <f t="shared" si="8"/>
        <v>0.71115371522893822</v>
      </c>
      <c r="G108" s="277">
        <v>221449</v>
      </c>
      <c r="H108" s="272">
        <v>245307</v>
      </c>
      <c r="I108" s="272"/>
      <c r="J108" s="273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265">
        <v>311394</v>
      </c>
      <c r="F109" s="63">
        <f t="shared" si="8"/>
        <v>0</v>
      </c>
      <c r="G109" s="277"/>
      <c r="H109" s="272"/>
      <c r="I109" s="272"/>
      <c r="J109" s="273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265">
        <v>311394</v>
      </c>
      <c r="F110" s="63">
        <f t="shared" si="8"/>
        <v>0</v>
      </c>
      <c r="G110" s="276"/>
      <c r="H110" s="281"/>
      <c r="I110" s="281"/>
      <c r="J110" s="282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265">
        <v>311394</v>
      </c>
      <c r="F111" s="63">
        <f>IFERROR((G111/$E$11),"")</f>
        <v>0</v>
      </c>
      <c r="G111" s="277"/>
      <c r="H111" s="299"/>
      <c r="I111" s="299"/>
      <c r="J111" s="300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265">
        <v>311394</v>
      </c>
      <c r="F112" s="63">
        <f t="shared" si="8"/>
        <v>0</v>
      </c>
      <c r="G112" s="277"/>
      <c r="H112" s="278"/>
      <c r="I112" s="278"/>
      <c r="J112" s="279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65">
        <v>311394</v>
      </c>
      <c r="F113" s="172">
        <f t="shared" si="8"/>
        <v>0</v>
      </c>
      <c r="G113" s="276"/>
      <c r="H113" s="281"/>
      <c r="I113" s="281"/>
      <c r="J113" s="282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65">
        <v>311394</v>
      </c>
      <c r="F114" s="63">
        <f t="shared" si="8"/>
        <v>0</v>
      </c>
      <c r="G114" s="277"/>
      <c r="H114" s="278"/>
      <c r="I114" s="278"/>
      <c r="J114" s="279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65">
        <v>311394</v>
      </c>
      <c r="F115" s="156">
        <f t="shared" si="8"/>
        <v>0</v>
      </c>
      <c r="G115" s="277"/>
      <c r="H115" s="299"/>
      <c r="I115" s="299"/>
      <c r="J115" s="300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65">
        <v>311394</v>
      </c>
      <c r="F116" s="170">
        <f t="shared" si="8"/>
        <v>0</v>
      </c>
      <c r="G116" s="301"/>
      <c r="H116" s="281"/>
      <c r="I116" s="281"/>
      <c r="J116" s="282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265">
        <v>311394</v>
      </c>
      <c r="F117" s="63">
        <f t="shared" si="8"/>
        <v>0.50600846515989395</v>
      </c>
      <c r="G117" s="276">
        <v>157568</v>
      </c>
      <c r="H117" s="302">
        <v>175082</v>
      </c>
      <c r="I117" s="302"/>
      <c r="J117" s="303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265">
        <v>311394</v>
      </c>
      <c r="F118" s="177">
        <f t="shared" si="8"/>
        <v>1.6056828326814262E-2</v>
      </c>
      <c r="G118" s="283">
        <v>5000</v>
      </c>
      <c r="H118" s="284">
        <v>5000</v>
      </c>
      <c r="I118" s="284"/>
      <c r="J118" s="285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>
        <f>IFERROR((G119+H119+I119+J119)/$E$225,"")</f>
        <v>1.097942777569242E-2</v>
      </c>
      <c r="C119" s="211" t="s">
        <v>123</v>
      </c>
      <c r="D119" s="162"/>
      <c r="E119" s="193"/>
      <c r="F119" s="194">
        <f>IFERROR((G119/$G$218),"")</f>
        <v>1.4024421174589925E-2</v>
      </c>
      <c r="G119" s="161">
        <f>SUM(G106:G118)</f>
        <v>562621</v>
      </c>
      <c r="H119" s="161">
        <f>SUM(H106:H118)</f>
        <v>623235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65">
        <v>311394</v>
      </c>
      <c r="F121" s="63">
        <f t="shared" ref="F121:F132" si="9">IFERROR((G121/$E$11),"")</f>
        <v>0</v>
      </c>
      <c r="G121" s="277"/>
      <c r="H121" s="272"/>
      <c r="I121" s="272"/>
      <c r="J121" s="273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65">
        <v>311394</v>
      </c>
      <c r="F122" s="63">
        <f t="shared" si="9"/>
        <v>1.7135815076719525</v>
      </c>
      <c r="G122" s="277">
        <v>533599</v>
      </c>
      <c r="H122" s="272">
        <v>591085</v>
      </c>
      <c r="I122" s="272"/>
      <c r="J122" s="273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65">
        <v>311394</v>
      </c>
      <c r="F123" s="63">
        <f t="shared" si="9"/>
        <v>0</v>
      </c>
      <c r="G123" s="277"/>
      <c r="H123" s="272"/>
      <c r="I123" s="272"/>
      <c r="J123" s="273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65">
        <v>311394</v>
      </c>
      <c r="F124" s="63">
        <f t="shared" si="9"/>
        <v>0</v>
      </c>
      <c r="G124" s="277"/>
      <c r="H124" s="272"/>
      <c r="I124" s="272"/>
      <c r="J124" s="273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65">
        <v>311394</v>
      </c>
      <c r="F125" s="63">
        <f t="shared" si="9"/>
        <v>0</v>
      </c>
      <c r="G125" s="276"/>
      <c r="H125" s="281"/>
      <c r="I125" s="281"/>
      <c r="J125" s="282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65">
        <v>311394</v>
      </c>
      <c r="F126" s="156">
        <f t="shared" si="9"/>
        <v>0</v>
      </c>
      <c r="G126" s="277"/>
      <c r="H126" s="299"/>
      <c r="I126" s="299"/>
      <c r="J126" s="300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65">
        <v>311394</v>
      </c>
      <c r="F127" s="63">
        <f t="shared" si="9"/>
        <v>0.53326332556182843</v>
      </c>
      <c r="G127" s="277">
        <v>166055</v>
      </c>
      <c r="H127" s="299">
        <v>183945</v>
      </c>
      <c r="I127" s="299"/>
      <c r="J127" s="300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265">
        <v>311394</v>
      </c>
      <c r="F128" s="63">
        <f t="shared" si="9"/>
        <v>4.0871950005459325</v>
      </c>
      <c r="G128" s="277">
        <v>1272728</v>
      </c>
      <c r="H128" s="272">
        <v>1409842</v>
      </c>
      <c r="I128" s="272"/>
      <c r="J128" s="273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265">
        <v>311394</v>
      </c>
      <c r="F129" s="63">
        <f t="shared" si="9"/>
        <v>0</v>
      </c>
      <c r="G129" s="277"/>
      <c r="H129" s="272"/>
      <c r="I129" s="272"/>
      <c r="J129" s="273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65">
        <v>311394</v>
      </c>
      <c r="F130" s="156">
        <f t="shared" si="9"/>
        <v>0</v>
      </c>
      <c r="G130" s="266"/>
      <c r="H130" s="272"/>
      <c r="I130" s="272"/>
      <c r="J130" s="273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65">
        <v>311394</v>
      </c>
      <c r="F131" s="63">
        <f t="shared" si="9"/>
        <v>0</v>
      </c>
      <c r="G131" s="266"/>
      <c r="H131" s="272"/>
      <c r="I131" s="272"/>
      <c r="J131" s="273"/>
      <c r="K131" s="15"/>
      <c r="L131" s="129" t="s">
        <v>412</v>
      </c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5">
        <v>311394</v>
      </c>
      <c r="F132" s="213">
        <f t="shared" si="9"/>
        <v>1.7461800805410508</v>
      </c>
      <c r="G132" s="270">
        <v>543750</v>
      </c>
      <c r="H132" s="270">
        <v>602330</v>
      </c>
      <c r="I132" s="270"/>
      <c r="J132" s="271"/>
      <c r="K132" s="15"/>
      <c r="L132" s="129" t="s">
        <v>413</v>
      </c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>
        <f>IFERROR((G133+H133+I133+J133)/$E$225,"")</f>
        <v>4.9101722825852373E-2</v>
      </c>
      <c r="C133" s="20" t="s">
        <v>134</v>
      </c>
      <c r="D133" s="164"/>
      <c r="E133" s="175"/>
      <c r="F133" s="157">
        <f>IFERROR((G133/$G$218),"")</f>
        <v>6.2719477052693193E-2</v>
      </c>
      <c r="G133" s="55">
        <f>SUM(G121:G132)</f>
        <v>2516132</v>
      </c>
      <c r="H133" s="55">
        <f>SUM(H121:H132)</f>
        <v>2787202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65">
        <v>311394</v>
      </c>
      <c r="F135" s="156">
        <f t="shared" ref="F135:F140" si="10">IFERROR((G135/$E$11),"")</f>
        <v>0.2285432603068781</v>
      </c>
      <c r="G135" s="277">
        <v>71167</v>
      </c>
      <c r="H135" s="299">
        <v>78833</v>
      </c>
      <c r="I135" s="299"/>
      <c r="J135" s="300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65">
        <v>311394</v>
      </c>
      <c r="F136" s="156">
        <f t="shared" si="10"/>
        <v>0</v>
      </c>
      <c r="G136" s="277"/>
      <c r="H136" s="299"/>
      <c r="I136" s="299"/>
      <c r="J136" s="300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65">
        <v>311394</v>
      </c>
      <c r="F137" s="156">
        <f t="shared" si="10"/>
        <v>0</v>
      </c>
      <c r="G137" s="277"/>
      <c r="H137" s="299"/>
      <c r="I137" s="299"/>
      <c r="J137" s="300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265">
        <v>311394</v>
      </c>
      <c r="F138" s="156">
        <f t="shared" si="10"/>
        <v>0</v>
      </c>
      <c r="G138" s="277"/>
      <c r="H138" s="277"/>
      <c r="I138" s="299"/>
      <c r="J138" s="300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265">
        <v>311394</v>
      </c>
      <c r="F139" s="172">
        <f t="shared" si="10"/>
        <v>0</v>
      </c>
      <c r="G139" s="276"/>
      <c r="H139" s="304"/>
      <c r="I139" s="304"/>
      <c r="J139" s="30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265">
        <v>311394</v>
      </c>
      <c r="F140" s="177">
        <f t="shared" si="10"/>
        <v>0</v>
      </c>
      <c r="G140" s="269"/>
      <c r="H140" s="284"/>
      <c r="I140" s="284"/>
      <c r="J140" s="285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>
        <f>IFERROR((G141+H141+I141+J141)/$E$225,"")</f>
        <v>1.3887977683242005E-3</v>
      </c>
      <c r="C141" s="211" t="s">
        <v>141</v>
      </c>
      <c r="D141" s="162"/>
      <c r="E141" s="193"/>
      <c r="F141" s="194">
        <f>IFERROR((G141/$G$218),"")</f>
        <v>1.7739756989732717E-3</v>
      </c>
      <c r="G141" s="161">
        <f>SUM(G135:G140)</f>
        <v>71167</v>
      </c>
      <c r="H141" s="161">
        <f>SUM(H135:H140)</f>
        <v>78833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265">
        <v>311394</v>
      </c>
      <c r="F143" s="156">
        <f t="shared" ref="F143:F146" si="11">IFERROR((G143/$E$11),"")</f>
        <v>0</v>
      </c>
      <c r="G143" s="296"/>
      <c r="H143" s="297"/>
      <c r="I143" s="297"/>
      <c r="J143" s="298"/>
      <c r="K143" s="15"/>
      <c r="L143" s="327" t="s">
        <v>423</v>
      </c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65">
        <v>311394</v>
      </c>
      <c r="F144" s="156">
        <f t="shared" si="11"/>
        <v>0</v>
      </c>
      <c r="G144" s="277"/>
      <c r="H144" s="299"/>
      <c r="I144" s="299"/>
      <c r="J144" s="300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65">
        <v>311394</v>
      </c>
      <c r="F145" s="156">
        <f t="shared" si="11"/>
        <v>0</v>
      </c>
      <c r="G145" s="277"/>
      <c r="H145" s="277"/>
      <c r="I145" s="299"/>
      <c r="J145" s="300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65">
        <v>311394</v>
      </c>
      <c r="F146" s="86">
        <f t="shared" si="11"/>
        <v>0</v>
      </c>
      <c r="G146" s="283"/>
      <c r="H146" s="291"/>
      <c r="I146" s="291"/>
      <c r="J146" s="292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>
        <f>IFERROR((G147+H147+I147+J147)/$E$225,"")</f>
        <v>0</v>
      </c>
      <c r="C147" s="20" t="s">
        <v>150</v>
      </c>
      <c r="D147" s="164"/>
      <c r="E147" s="175"/>
      <c r="F147" s="157">
        <f>IFERROR((G147/$G$218),"")</f>
        <v>0</v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265">
        <v>311394</v>
      </c>
      <c r="F149" s="156">
        <f t="shared" ref="F149:F151" si="12">IFERROR((G149/$E$11),"")</f>
        <v>0</v>
      </c>
      <c r="G149" s="296"/>
      <c r="H149" s="297"/>
      <c r="I149" s="297"/>
      <c r="J149" s="298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65">
        <v>311394</v>
      </c>
      <c r="F150" s="156">
        <f t="shared" si="12"/>
        <v>0.39537691798814362</v>
      </c>
      <c r="G150" s="277">
        <v>123118</v>
      </c>
      <c r="H150" s="299">
        <v>136382</v>
      </c>
      <c r="I150" s="299"/>
      <c r="J150" s="300"/>
      <c r="K150" s="15"/>
      <c r="L150" s="129"/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5" thickBot="1">
      <c r="A151" s="191"/>
      <c r="B151" s="210" t="s">
        <v>356</v>
      </c>
      <c r="C151" s="21" t="s">
        <v>154</v>
      </c>
      <c r="D151" s="176"/>
      <c r="E151" s="265">
        <v>311394</v>
      </c>
      <c r="F151" s="177">
        <f t="shared" si="12"/>
        <v>0</v>
      </c>
      <c r="G151" s="283"/>
      <c r="H151" s="291"/>
      <c r="I151" s="291"/>
      <c r="J151" s="292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>
        <f>IFERROR((G152+H152+I152+J152)/$E$225,"")</f>
        <v>2.4026201392008668E-3</v>
      </c>
      <c r="C152" s="20" t="s">
        <v>156</v>
      </c>
      <c r="D152" s="155"/>
      <c r="E152" s="175"/>
      <c r="F152" s="157">
        <f>IFERROR((G152/$G$218),"")</f>
        <v>3.0689552757063141E-3</v>
      </c>
      <c r="G152" s="55">
        <f>SUM(G149:G151)</f>
        <v>123118</v>
      </c>
      <c r="H152" s="55">
        <f>SUM(H149:H151)</f>
        <v>136382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65">
        <v>311394</v>
      </c>
      <c r="F154" s="86">
        <f t="shared" ref="F154" si="13">IFERROR((G154/$E$11),"")</f>
        <v>1.3476560242008517</v>
      </c>
      <c r="G154" s="283">
        <v>419652</v>
      </c>
      <c r="H154" s="291">
        <v>464863</v>
      </c>
      <c r="I154" s="291"/>
      <c r="J154" s="292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>
        <f>IFERROR((G155+H155+I155+J155)/$E$225,"")</f>
        <v>8.1894163869952012E-3</v>
      </c>
      <c r="C155" s="163" t="s">
        <v>362</v>
      </c>
      <c r="D155" s="164"/>
      <c r="E155" s="175"/>
      <c r="F155" s="157">
        <f>IFERROR((G155/$G$218),"")</f>
        <v>1.0460641168315812E-2</v>
      </c>
      <c r="G155" s="55">
        <f>SUM(G154:G154)</f>
        <v>419652</v>
      </c>
      <c r="H155" s="55">
        <f>SUM(H154:H154)</f>
        <v>464863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65">
        <v>311394</v>
      </c>
      <c r="F157" s="156">
        <f t="shared" ref="F157:F162" si="14">IFERROR((G157/$E$11),"")</f>
        <v>5.0366320481447939</v>
      </c>
      <c r="G157" s="277">
        <v>1568377</v>
      </c>
      <c r="H157" s="299">
        <v>1737342</v>
      </c>
      <c r="I157" s="299"/>
      <c r="J157" s="300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265">
        <v>311394</v>
      </c>
      <c r="F158" s="156">
        <f t="shared" si="14"/>
        <v>0</v>
      </c>
      <c r="G158" s="276"/>
      <c r="H158" s="302"/>
      <c r="I158" s="302"/>
      <c r="J158" s="303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65">
        <v>311394</v>
      </c>
      <c r="F159" s="156">
        <f t="shared" si="14"/>
        <v>0</v>
      </c>
      <c r="G159" s="277"/>
      <c r="H159" s="299"/>
      <c r="I159" s="299"/>
      <c r="J159" s="300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65">
        <v>311394</v>
      </c>
      <c r="F160" s="156">
        <f t="shared" si="14"/>
        <v>0</v>
      </c>
      <c r="G160" s="277"/>
      <c r="H160" s="299"/>
      <c r="I160" s="299"/>
      <c r="J160" s="300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265">
        <v>311394</v>
      </c>
      <c r="F161" s="156">
        <f t="shared" si="14"/>
        <v>0</v>
      </c>
      <c r="G161" s="276"/>
      <c r="H161" s="302"/>
      <c r="I161" s="302"/>
      <c r="J161" s="303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265">
        <v>311394</v>
      </c>
      <c r="F162" s="86">
        <f t="shared" si="14"/>
        <v>0</v>
      </c>
      <c r="G162" s="283"/>
      <c r="H162" s="291"/>
      <c r="I162" s="291"/>
      <c r="J162" s="292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>
        <f>IFERROR((G163+H163+I163+J163)/$E$225,"")</f>
        <v>3.0606501132712717E-2</v>
      </c>
      <c r="C163" s="173" t="s">
        <v>372</v>
      </c>
      <c r="D163" s="162"/>
      <c r="E163" s="175"/>
      <c r="F163" s="194">
        <f>IFERROR((G163/$G$218),"")</f>
        <v>3.9094842902308698E-2</v>
      </c>
      <c r="G163" s="161">
        <f>SUM(G157:G162)</f>
        <v>1568377</v>
      </c>
      <c r="H163" s="161">
        <f>SUM(H157:H162)</f>
        <v>1737342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65">
        <v>311394</v>
      </c>
      <c r="F165" s="156">
        <f t="shared" ref="F165:F170" si="15">IFERROR((G165/$E$11),"")</f>
        <v>0</v>
      </c>
      <c r="G165" s="277"/>
      <c r="H165" s="299"/>
      <c r="I165" s="299"/>
      <c r="J165" s="300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265">
        <v>311394</v>
      </c>
      <c r="F166" s="156">
        <f t="shared" si="15"/>
        <v>12.517550113361208</v>
      </c>
      <c r="G166" s="296">
        <f>4347890-450000</f>
        <v>3897890</v>
      </c>
      <c r="H166" s="297">
        <f>4816298-450000</f>
        <v>4366298</v>
      </c>
      <c r="I166" s="297"/>
      <c r="J166" s="298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265">
        <v>311394</v>
      </c>
      <c r="F167" s="156">
        <f t="shared" si="15"/>
        <v>0</v>
      </c>
      <c r="G167" s="296"/>
      <c r="H167" s="297"/>
      <c r="I167" s="297"/>
      <c r="J167" s="298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265">
        <v>311394</v>
      </c>
      <c r="F168" s="156">
        <f t="shared" si="15"/>
        <v>0</v>
      </c>
      <c r="G168" s="296"/>
      <c r="H168" s="297"/>
      <c r="I168" s="297"/>
      <c r="J168" s="298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265">
        <v>311394</v>
      </c>
      <c r="F169" s="156">
        <f t="shared" si="15"/>
        <v>0</v>
      </c>
      <c r="G169" s="296"/>
      <c r="H169" s="297"/>
      <c r="I169" s="297"/>
      <c r="J169" s="298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5" thickBot="1">
      <c r="A170" s="203"/>
      <c r="B170" s="215" t="s">
        <v>383</v>
      </c>
      <c r="C170" s="32" t="s">
        <v>163</v>
      </c>
      <c r="D170" s="207"/>
      <c r="E170" s="265">
        <v>311394</v>
      </c>
      <c r="F170" s="177">
        <f t="shared" si="15"/>
        <v>0</v>
      </c>
      <c r="G170" s="293"/>
      <c r="H170" s="306"/>
      <c r="I170" s="306"/>
      <c r="J170" s="307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>
        <f>IFERROR((G171+H171+I171+J171)/$E$225,"")</f>
        <v>7.6515239009410915E-2</v>
      </c>
      <c r="C171" s="173" t="s">
        <v>385</v>
      </c>
      <c r="D171" s="162"/>
      <c r="E171" s="193"/>
      <c r="F171" s="194">
        <f>IFERROR((G171/$G$218),"")</f>
        <v>9.7162478919596534E-2</v>
      </c>
      <c r="G171" s="161">
        <f>SUM(G165:G170)</f>
        <v>3897890</v>
      </c>
      <c r="H171" s="161">
        <f>SUM(H165:H170)</f>
        <v>4366298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265">
        <v>311394</v>
      </c>
      <c r="F173" s="86">
        <f t="shared" ref="F173" si="16">IFERROR((G173/$E$11),"")</f>
        <v>1.4451145494132835</v>
      </c>
      <c r="G173" s="308">
        <v>450000</v>
      </c>
      <c r="H173" s="270">
        <v>450000</v>
      </c>
      <c r="I173" s="270"/>
      <c r="J173" s="271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>
        <f>IFERROR((G174+H174+I174+J174)/$E$225,"")</f>
        <v>8.3327866099452037E-3</v>
      </c>
      <c r="C174" s="216" t="s">
        <v>389</v>
      </c>
      <c r="D174" s="164"/>
      <c r="E174" s="175"/>
      <c r="F174" s="157">
        <f>IFERROR((G174/$G$218),"")</f>
        <v>1.1217124011662319E-2</v>
      </c>
      <c r="G174" s="56">
        <f>SUM(G173:G173)</f>
        <v>450000</v>
      </c>
      <c r="H174" s="56">
        <f>SUM(H173:H173)</f>
        <v>450000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265">
        <v>311394</v>
      </c>
      <c r="F176" s="156">
        <f t="shared" ref="F176:F179" si="17">IFERROR((G176/$E$11),"")</f>
        <v>2.4085242490221392</v>
      </c>
      <c r="G176" s="275">
        <v>750000</v>
      </c>
      <c r="H176" s="275">
        <v>750000</v>
      </c>
      <c r="I176" s="272"/>
      <c r="J176" s="273">
        <v>641835</v>
      </c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265">
        <v>311394</v>
      </c>
      <c r="F177" s="156">
        <f t="shared" si="17"/>
        <v>11.338725216285477</v>
      </c>
      <c r="G177" s="277">
        <f>4280811-750000</f>
        <v>3530811</v>
      </c>
      <c r="H177" s="272">
        <f>4741992-750000</f>
        <v>3991992</v>
      </c>
      <c r="I177" s="272"/>
      <c r="J177" s="273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265">
        <v>311394</v>
      </c>
      <c r="F178" s="156">
        <f t="shared" si="17"/>
        <v>0</v>
      </c>
      <c r="G178" s="277"/>
      <c r="H178" s="277"/>
      <c r="I178" s="272"/>
      <c r="J178" s="273"/>
      <c r="K178" s="15"/>
      <c r="L178" s="129" t="s">
        <v>418</v>
      </c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265">
        <v>311394</v>
      </c>
      <c r="F179" s="177">
        <f t="shared" si="17"/>
        <v>0</v>
      </c>
      <c r="G179" s="283"/>
      <c r="H179" s="283"/>
      <c r="I179" s="270"/>
      <c r="J179" s="271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>
        <f>IFERROR((G180+H180+I180+J180)/$E$225,"")</f>
        <v>8.9481517907075092E-2</v>
      </c>
      <c r="C180" s="173" t="s">
        <v>246</v>
      </c>
      <c r="D180" s="162"/>
      <c r="E180" s="175"/>
      <c r="F180" s="157">
        <f>IFERROR((G180/$G$218),"")</f>
        <v>0.10670752857219597</v>
      </c>
      <c r="G180" s="161">
        <f>SUM(G176:G179)</f>
        <v>4280811</v>
      </c>
      <c r="H180" s="161">
        <f>SUM(H176:H179)</f>
        <v>4741992</v>
      </c>
      <c r="I180" s="161">
        <f>SUM(I176:I179)</f>
        <v>0</v>
      </c>
      <c r="J180" s="161">
        <f>SUM(J176:J179)</f>
        <v>641835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265">
        <v>311394</v>
      </c>
      <c r="F182" s="156">
        <f t="shared" ref="F182:F185" si="18">IFERROR((G182/$E$11),"")</f>
        <v>0.56198899143849912</v>
      </c>
      <c r="G182" s="277">
        <v>175000</v>
      </c>
      <c r="H182" s="272">
        <v>175000</v>
      </c>
      <c r="I182" s="272"/>
      <c r="J182" s="273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65">
        <v>311394</v>
      </c>
      <c r="F183" s="170">
        <f t="shared" si="18"/>
        <v>0.71487889940075922</v>
      </c>
      <c r="G183" s="276">
        <f>972609-750000</f>
        <v>222609</v>
      </c>
      <c r="H183" s="281">
        <f>1077391-750000</f>
        <v>327391</v>
      </c>
      <c r="I183" s="281"/>
      <c r="J183" s="282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65">
        <v>311394</v>
      </c>
      <c r="F184" s="63">
        <f t="shared" si="18"/>
        <v>0.40142070817035652</v>
      </c>
      <c r="G184" s="277">
        <v>125000</v>
      </c>
      <c r="H184" s="277">
        <v>125000</v>
      </c>
      <c r="I184" s="278"/>
      <c r="J184" s="279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265">
        <v>311394</v>
      </c>
      <c r="F185" s="86">
        <f t="shared" si="18"/>
        <v>0.80284141634071304</v>
      </c>
      <c r="G185" s="308">
        <v>250000</v>
      </c>
      <c r="H185" s="308">
        <v>250000</v>
      </c>
      <c r="I185" s="270"/>
      <c r="J185" s="271"/>
      <c r="K185" s="15"/>
      <c r="L185" s="129" t="s">
        <v>420</v>
      </c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>
        <f>IFERROR((G186+H186+I186+J186)/$E$225,"")</f>
        <v>1.5276775451566206E-2</v>
      </c>
      <c r="C186" s="163" t="s">
        <v>400</v>
      </c>
      <c r="D186" s="155"/>
      <c r="E186" s="175"/>
      <c r="F186" s="157">
        <f>IFERROR((G186/$G$218),"")</f>
        <v>1.925877992339203E-2</v>
      </c>
      <c r="G186" s="55">
        <f>SUM(G182:G185)</f>
        <v>772609</v>
      </c>
      <c r="H186" s="55">
        <f t="shared" ref="H186:J186" si="19">SUM(H182:H185)</f>
        <v>877391</v>
      </c>
      <c r="I186" s="55">
        <f t="shared" si="19"/>
        <v>0</v>
      </c>
      <c r="J186" s="55">
        <f t="shared" si="19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265">
        <v>311394</v>
      </c>
      <c r="F188" s="156">
        <f t="shared" ref="F188:F190" si="20">IFERROR((G188/$E$11),"")</f>
        <v>0.24085242490221392</v>
      </c>
      <c r="G188" s="277">
        <v>75000</v>
      </c>
      <c r="H188" s="277">
        <v>75000</v>
      </c>
      <c r="I188" s="272"/>
      <c r="J188" s="273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265">
        <v>311394</v>
      </c>
      <c r="F189" s="63">
        <f t="shared" si="20"/>
        <v>0.40142070817035652</v>
      </c>
      <c r="G189" s="296">
        <v>125000</v>
      </c>
      <c r="H189" s="296">
        <v>125000</v>
      </c>
      <c r="I189" s="297"/>
      <c r="J189" s="298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265">
        <v>311394</v>
      </c>
      <c r="F190" s="177">
        <f t="shared" si="20"/>
        <v>0.65558424375549951</v>
      </c>
      <c r="G190" s="283">
        <v>204145</v>
      </c>
      <c r="H190" s="270">
        <v>226138</v>
      </c>
      <c r="I190" s="270"/>
      <c r="J190" s="271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>
        <f>IFERROR((G191+H191+I191+J191)/$E$225,"")</f>
        <v>7.6873011831834811E-3</v>
      </c>
      <c r="C191" s="163" t="s">
        <v>391</v>
      </c>
      <c r="D191" s="164"/>
      <c r="E191" s="175"/>
      <c r="F191" s="157">
        <f>IFERROR((G191/$G$218),"")</f>
        <v>1.007409907487393E-2</v>
      </c>
      <c r="G191" s="55">
        <f>SUM(G188:G190)</f>
        <v>404145</v>
      </c>
      <c r="H191" s="55">
        <f>SUM(H188:H190)</f>
        <v>426138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265">
        <v>311394</v>
      </c>
      <c r="F193" s="156">
        <f t="shared" ref="F193:F195" si="21">IFERROR((G193/$E$11),"")</f>
        <v>2.5968965362209935</v>
      </c>
      <c r="G193" s="266">
        <f>1058658-250000</f>
        <v>808658</v>
      </c>
      <c r="H193" s="272">
        <f>1172709-250000</f>
        <v>922709</v>
      </c>
      <c r="I193" s="272"/>
      <c r="J193" s="288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65">
        <v>311394</v>
      </c>
      <c r="F194" s="156">
        <f t="shared" si="21"/>
        <v>0</v>
      </c>
      <c r="G194" s="275"/>
      <c r="H194" s="272"/>
      <c r="I194" s="272"/>
      <c r="J194" s="273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5">
        <v>311394</v>
      </c>
      <c r="F195" s="177">
        <f t="shared" si="21"/>
        <v>0</v>
      </c>
      <c r="G195" s="269"/>
      <c r="H195" s="270"/>
      <c r="I195" s="270"/>
      <c r="J195" s="271"/>
      <c r="K195" s="15"/>
      <c r="L195" s="129" t="s">
        <v>421</v>
      </c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>
        <f>IFERROR((G196+H196+I196+J196)/$E$225,"")</f>
        <v>1.6030124171667774E-2</v>
      </c>
      <c r="C196" s="216" t="s">
        <v>236</v>
      </c>
      <c r="D196" s="164"/>
      <c r="E196" s="175"/>
      <c r="F196" s="157">
        <f>IFERROR((G196/$G$218),"")</f>
        <v>2.0157371264495173E-2</v>
      </c>
      <c r="G196" s="195">
        <f>SUM(G193:G195)</f>
        <v>808658</v>
      </c>
      <c r="H196" s="195">
        <f>SUM(H193:H195)</f>
        <v>922709</v>
      </c>
      <c r="I196" s="195">
        <f>SUM(I193:I195)</f>
        <v>0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/>
      <c r="H197" s="232"/>
      <c r="I197" s="232"/>
      <c r="J197" s="233"/>
      <c r="K197" s="15"/>
      <c r="L197" s="129"/>
      <c r="M197" s="130"/>
      <c r="N197" s="131"/>
      <c r="O197" s="129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265">
        <v>311394</v>
      </c>
      <c r="F198" s="63">
        <f t="shared" ref="F198:F208" si="22">IFERROR((G198/$E$11),"")</f>
        <v>0</v>
      </c>
      <c r="G198" s="275"/>
      <c r="H198" s="272"/>
      <c r="I198" s="272"/>
      <c r="J198" s="273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265">
        <v>311394</v>
      </c>
      <c r="F199" s="63">
        <f t="shared" si="22"/>
        <v>0</v>
      </c>
      <c r="G199" s="275"/>
      <c r="H199" s="272"/>
      <c r="I199" s="272"/>
      <c r="J199" s="273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65">
        <v>311394</v>
      </c>
      <c r="F200" s="63">
        <f t="shared" si="22"/>
        <v>0.80284141634071304</v>
      </c>
      <c r="G200" s="275">
        <v>250000</v>
      </c>
      <c r="H200" s="272">
        <v>250000</v>
      </c>
      <c r="I200" s="272">
        <v>1282438</v>
      </c>
      <c r="J200" s="273">
        <v>923148</v>
      </c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65">
        <v>311394</v>
      </c>
      <c r="F201" s="63">
        <f t="shared" si="22"/>
        <v>0</v>
      </c>
      <c r="G201" s="275"/>
      <c r="H201" s="272"/>
      <c r="I201" s="272"/>
      <c r="J201" s="273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65">
        <v>311394</v>
      </c>
      <c r="F202" s="63">
        <f t="shared" si="22"/>
        <v>0</v>
      </c>
      <c r="G202" s="275"/>
      <c r="H202" s="275"/>
      <c r="I202" s="272"/>
      <c r="J202" s="273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65">
        <v>311394</v>
      </c>
      <c r="F203" s="63">
        <f t="shared" si="22"/>
        <v>0</v>
      </c>
      <c r="G203" s="275"/>
      <c r="H203" s="272"/>
      <c r="I203" s="272"/>
      <c r="J203" s="273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65">
        <v>311394</v>
      </c>
      <c r="F204" s="63">
        <f t="shared" si="22"/>
        <v>0</v>
      </c>
      <c r="G204" s="275"/>
      <c r="H204" s="275"/>
      <c r="I204" s="272"/>
      <c r="J204" s="273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65">
        <v>311394</v>
      </c>
      <c r="F205" s="63">
        <f t="shared" si="22"/>
        <v>1.8878366314058717</v>
      </c>
      <c r="G205" s="275">
        <v>587861</v>
      </c>
      <c r="H205" s="272">
        <v>651192</v>
      </c>
      <c r="I205" s="272"/>
      <c r="J205" s="273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265">
        <v>311394</v>
      </c>
      <c r="F206" s="63">
        <f t="shared" si="22"/>
        <v>0</v>
      </c>
      <c r="G206" s="309"/>
      <c r="H206" s="281"/>
      <c r="I206" s="281"/>
      <c r="J206" s="282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65">
        <v>311394</v>
      </c>
      <c r="F207" s="63">
        <f t="shared" si="22"/>
        <v>0</v>
      </c>
      <c r="G207" s="275"/>
      <c r="H207" s="278"/>
      <c r="I207" s="278"/>
      <c r="J207" s="279"/>
      <c r="K207" s="15"/>
      <c r="L207" s="129" t="s">
        <v>422</v>
      </c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265">
        <v>311394</v>
      </c>
      <c r="F208" s="177">
        <f t="shared" si="22"/>
        <v>3.1629992870768224</v>
      </c>
      <c r="G208" s="269">
        <v>984939</v>
      </c>
      <c r="H208" s="284">
        <v>1091049</v>
      </c>
      <c r="I208" s="284"/>
      <c r="J208" s="285">
        <v>218214</v>
      </c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>
        <f>IFERROR((G209+H209+I209+J209)/$E$225,"")</f>
        <v>5.7763256384863487E-2</v>
      </c>
      <c r="C209" s="220" t="s">
        <v>237</v>
      </c>
      <c r="D209" s="162"/>
      <c r="E209" s="175"/>
      <c r="F209" s="157">
        <f>IFERROR((G209/$G$218),"")</f>
        <v>4.5436830329906835E-2</v>
      </c>
      <c r="G209" s="195">
        <f>SUM(G198:G208)</f>
        <v>1822800</v>
      </c>
      <c r="H209" s="195">
        <f>SUM(H198:H208)</f>
        <v>1992241</v>
      </c>
      <c r="I209" s="195">
        <f>SUM(I198:I208)</f>
        <v>1282438</v>
      </c>
      <c r="J209" s="221">
        <f>SUM(J198:J208)</f>
        <v>1141362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65">
        <v>311394</v>
      </c>
      <c r="F211" s="63">
        <f t="shared" ref="F211:F216" si="23">IFERROR((G211/$E$11),"")</f>
        <v>2.690077522367162</v>
      </c>
      <c r="G211" s="275">
        <v>837674</v>
      </c>
      <c r="H211" s="272">
        <v>927918</v>
      </c>
      <c r="I211" s="272"/>
      <c r="J211" s="273">
        <v>438136</v>
      </c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65">
        <v>311394</v>
      </c>
      <c r="F212" s="63">
        <f t="shared" si="23"/>
        <v>0</v>
      </c>
      <c r="G212" s="275"/>
      <c r="H212" s="272"/>
      <c r="I212" s="272"/>
      <c r="J212" s="273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265">
        <v>311394</v>
      </c>
      <c r="F213" s="63">
        <f t="shared" si="23"/>
        <v>0</v>
      </c>
      <c r="G213" s="275"/>
      <c r="H213" s="272"/>
      <c r="I213" s="272"/>
      <c r="J213" s="273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65">
        <v>311394</v>
      </c>
      <c r="F214" s="63">
        <f t="shared" si="23"/>
        <v>0</v>
      </c>
      <c r="G214" s="275"/>
      <c r="H214" s="272"/>
      <c r="I214" s="272"/>
      <c r="J214" s="273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265">
        <v>311394</v>
      </c>
      <c r="F215" s="63">
        <f t="shared" si="23"/>
        <v>0</v>
      </c>
      <c r="G215" s="275"/>
      <c r="H215" s="272"/>
      <c r="I215" s="272"/>
      <c r="J215" s="273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265">
        <v>311394</v>
      </c>
      <c r="F216" s="177">
        <f t="shared" si="23"/>
        <v>0.49992934995536203</v>
      </c>
      <c r="G216" s="310">
        <v>155675</v>
      </c>
      <c r="H216" s="270">
        <v>172447</v>
      </c>
      <c r="I216" s="270"/>
      <c r="J216" s="311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>
        <f>IFERROR((G217+H217+I217+J217)/$E$225,"")</f>
        <v>2.3441517531544179E-2</v>
      </c>
      <c r="C217" s="220" t="s">
        <v>238</v>
      </c>
      <c r="D217" s="162"/>
      <c r="E217" s="222"/>
      <c r="F217" s="157">
        <f>IFERROR((G217/$G$218),"")</f>
        <v>2.4761153155246119E-2</v>
      </c>
      <c r="G217" s="195">
        <f>SUM(G211:G216)</f>
        <v>993349</v>
      </c>
      <c r="H217" s="195">
        <f>SUM(H211:H216)</f>
        <v>1100365</v>
      </c>
      <c r="I217" s="195">
        <f>SUM(I211:I216)</f>
        <v>0</v>
      </c>
      <c r="J217" s="221">
        <f>SUM(J211:J216)</f>
        <v>438136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90610002</v>
      </c>
      <c r="F218" s="184"/>
      <c r="G218" s="75">
        <f>(G26+G31+G39+G47+G54+G61+G77+G89+G104+G119+G133+G141+G147+G152+G155+G163+G171+G180+G186+G191+G174+G196+G209+G217)</f>
        <v>40117235</v>
      </c>
      <c r="H218" s="75">
        <f>(H26+H31+H39+H47+H54+H61+H77+H89+H104+H119+H133+H141+H147+H152+H155+H163+H171+H180+H186+H191+H174+H196+H209+H217)</f>
        <v>44439159</v>
      </c>
      <c r="I218" s="75">
        <f>(I26+I31+I39+I47+I54+I61+I77+I89+I104+I119+I133+I141+I147+I152+I155+I163+I171+I180+I186+I191+I174+I196+I209+I217)</f>
        <v>2868464</v>
      </c>
      <c r="J218" s="75">
        <f>(J26+J31+J39+J47+J54+J61+J77+J89+J104+J119+J133+J141+J147+J152+J155+J163+J171+J180+J186+J191+J174+J196+J209+J217)</f>
        <v>3185144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21">
        <f>IFERROR((F219/$E$225),"")</f>
        <v>6.0132695169225322E-10</v>
      </c>
      <c r="C219" s="36" t="s">
        <v>177</v>
      </c>
      <c r="D219" s="14"/>
      <c r="E219" s="81"/>
      <c r="F219" s="186">
        <f>IFERROR((G219/$G$218),"")</f>
        <v>6.4947571785543043E-2</v>
      </c>
      <c r="G219" s="286">
        <v>2605517</v>
      </c>
      <c r="H219" s="312">
        <v>2886212</v>
      </c>
      <c r="I219" s="313">
        <v>180533</v>
      </c>
      <c r="J219" s="313">
        <v>200466</v>
      </c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>
        <f t="shared" ref="B220:B223" si="24">IFERROR((F220/$E$225),"")</f>
        <v>2.9566075904621434E-10</v>
      </c>
      <c r="C220" s="37" t="s">
        <v>178</v>
      </c>
      <c r="D220" s="38"/>
      <c r="E220" s="82"/>
      <c r="F220" s="186">
        <f t="shared" ref="F220:F223" si="25">IFERROR((G220/$G$218),"")</f>
        <v>3.1933457029129753E-2</v>
      </c>
      <c r="G220" s="286">
        <f>512433+512433+256216</f>
        <v>1281082</v>
      </c>
      <c r="H220" s="312">
        <f>567638+567638+283819</f>
        <v>1419095</v>
      </c>
      <c r="I220" s="313"/>
      <c r="J220" s="313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>
        <f t="shared" si="24"/>
        <v>1.4929889551959377E-10</v>
      </c>
      <c r="C221" s="39" t="s">
        <v>179</v>
      </c>
      <c r="D221" s="38"/>
      <c r="E221" s="83"/>
      <c r="F221" s="186">
        <f t="shared" si="25"/>
        <v>1.6125338648089779E-2</v>
      </c>
      <c r="G221" s="277">
        <f>479188+167716</f>
        <v>646904</v>
      </c>
      <c r="H221" s="314">
        <f>530812+185784</f>
        <v>716596</v>
      </c>
      <c r="I221" s="315">
        <f>33203+11621</f>
        <v>44824</v>
      </c>
      <c r="J221" s="315">
        <f>36868+12904</f>
        <v>49772</v>
      </c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>
        <f t="shared" si="24"/>
        <v>1.2165096045262747E-10</v>
      </c>
      <c r="C222" s="41" t="s">
        <v>180</v>
      </c>
      <c r="D222" s="38"/>
      <c r="E222" s="83"/>
      <c r="F222" s="186">
        <f t="shared" si="25"/>
        <v>1.3139165747589533E-2</v>
      </c>
      <c r="G222" s="277">
        <v>527107</v>
      </c>
      <c r="H222" s="314">
        <v>583893</v>
      </c>
      <c r="I222" s="315">
        <v>36523</v>
      </c>
      <c r="J222" s="315">
        <v>40555</v>
      </c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>
        <f t="shared" si="24"/>
        <v>6.32584671247833E-10</v>
      </c>
      <c r="C223" s="43" t="s">
        <v>181</v>
      </c>
      <c r="D223" s="38"/>
      <c r="E223" s="84"/>
      <c r="F223" s="186">
        <f t="shared" si="25"/>
        <v>6.8323626989746422E-2</v>
      </c>
      <c r="G223" s="283">
        <v>2740955</v>
      </c>
      <c r="H223" s="316">
        <v>3036245</v>
      </c>
      <c r="I223" s="317">
        <v>189919</v>
      </c>
      <c r="J223" s="317">
        <v>210886</v>
      </c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108007086</v>
      </c>
      <c r="F224" s="185"/>
      <c r="G224" s="45">
        <f>SUM(G218:G223)</f>
        <v>47918800</v>
      </c>
      <c r="H224" s="45">
        <f>SUM(H218:H223)</f>
        <v>53081200</v>
      </c>
      <c r="I224" s="45">
        <f>SUM(I218:I223)</f>
        <v>3320263</v>
      </c>
      <c r="J224" s="45">
        <f>SUM(J218:J223)</f>
        <v>3686823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2.25" thickBot="1">
      <c r="A225" s="190"/>
      <c r="B225" s="322">
        <f>IFERROR((B26+B31+B39+B47+B54+B61+B77+B89+B104+B119+B133+B141+B147+B152+B155+B163+B171+B174+B180+B186+B191+B196+B209+B217+B219+B220+B221+B222+B223),"")</f>
        <v>0.83892645890353135</v>
      </c>
      <c r="C225" s="67" t="s">
        <v>194</v>
      </c>
      <c r="D225" s="66"/>
      <c r="E225" s="350">
        <f>SUM(G224:J224)</f>
        <v>108007086</v>
      </c>
      <c r="F225" s="351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326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ref="A197:J207">
    <sortCondition ref="B197:B207"/>
  </sortState>
  <mergeCells count="28">
    <mergeCell ref="C20:C21"/>
    <mergeCell ref="H5:H6"/>
    <mergeCell ref="E5:G5"/>
    <mergeCell ref="E9:G9"/>
    <mergeCell ref="E6:G6"/>
    <mergeCell ref="E7:G7"/>
    <mergeCell ref="E8:G8"/>
    <mergeCell ref="E12:F12"/>
    <mergeCell ref="E10:G10"/>
    <mergeCell ref="E225:F225"/>
    <mergeCell ref="F16:G16"/>
    <mergeCell ref="F17:G17"/>
    <mergeCell ref="E13:F13"/>
    <mergeCell ref="E14:F14"/>
    <mergeCell ref="A1:D1"/>
    <mergeCell ref="A2:D2"/>
    <mergeCell ref="A4:K4"/>
    <mergeCell ref="E1:K1"/>
    <mergeCell ref="E3:K3"/>
    <mergeCell ref="E2:J2"/>
    <mergeCell ref="I13:J13"/>
    <mergeCell ref="I14:J14"/>
    <mergeCell ref="E15:F15"/>
    <mergeCell ref="G11:H11"/>
    <mergeCell ref="G12:H12"/>
    <mergeCell ref="G13:H13"/>
    <mergeCell ref="G14:H14"/>
    <mergeCell ref="G15:H15"/>
  </mergeCells>
  <phoneticPr fontId="0" type="noConversion"/>
  <printOptions horizontalCentered="1" headings="1"/>
  <pageMargins left="0.25333" right="0.25" top="0.82" bottom="0.53" header="0.42" footer="0"/>
  <pageSetup scale="65" orientation="portrait" r:id="rId1"/>
  <headerFooter alignWithMargins="0">
    <oddHeader>&amp;C&amp;"Arial,Bold"&amp;14Schedule of Values&amp;Rrevised 12/6/2016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8" ma:contentTypeDescription="Create a new document." ma:contentTypeScope="" ma:versionID="0b58c166de0c5e91810c2b434184810c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e484024b97c13561028ec645e53bb8b8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B0EC3D-6467-40B0-B544-37E39C2A600A}">
  <ds:schemaRefs>
    <ds:schemaRef ds:uri="http://purl.org/dc/terms/"/>
    <ds:schemaRef ds:uri="http://schemas.openxmlformats.org/package/2006/metadata/core-properties"/>
    <ds:schemaRef ds:uri="21a5325a-d915-409f-8cfc-75663bb21e5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890fe0a-2c4a-4106-8a90-cdc7d9cc6b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6DF509-961D-4DC6-ACE4-F2BC63D015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BE2E23-2D73-4D5D-B700-EC5C20BE9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Jenifer Weskalnies</cp:lastModifiedBy>
  <cp:lastPrinted>2017-01-12T23:49:01Z</cp:lastPrinted>
  <dcterms:created xsi:type="dcterms:W3CDTF">2006-08-31T18:48:44Z</dcterms:created>
  <dcterms:modified xsi:type="dcterms:W3CDTF">2018-08-01T14:27:01Z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